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e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ksh\AppData\Local\Microsoft\Olk\Attachments\ooa-d86bc17e-cb42-4ee3-8916-eac1927ab9c4\1714e161b085d53346760661f245a47bee2cc3182d18bbccc969016be5ee4cef\"/>
    </mc:Choice>
  </mc:AlternateContent>
  <xr:revisionPtr revIDLastSave="0" documentId="13_ncr:1_{BE0566D7-D47D-408B-BEE5-696208EEB313}" xr6:coauthVersionLast="47" xr6:coauthVersionMax="47" xr10:uidLastSave="{00000000-0000-0000-0000-000000000000}"/>
  <bookViews>
    <workbookView xWindow="-108" yWindow="-108" windowWidth="23256" windowHeight="12456" activeTab="4" xr2:uid="{432CCC65-273D-F741-83D7-CBFC347210C8}"/>
  </bookViews>
  <sheets>
    <sheet name="Research (2)" sheetId="9" r:id="rId1"/>
    <sheet name="IS" sheetId="5" r:id="rId2"/>
    <sheet name="Balance Sheet" sheetId="6" r:id="rId3"/>
    <sheet name="CFS" sheetId="8" r:id="rId4"/>
    <sheet name="DCF" sheetId="4" r:id="rId5"/>
    <sheet name="Revenue Driver" sheetId="11" r:id="rId6"/>
    <sheet name="Cost Driver" sheetId="13" r:id="rId7"/>
    <sheet name="Asset Schedule" sheetId="15" r:id="rId8"/>
  </sheets>
  <externalReferences>
    <externalReference r:id="rId9"/>
    <externalReference r:id="rId10"/>
  </externalReferences>
  <calcPr calcId="191029" iterate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41" i="4" l="1"/>
  <c r="I33" i="4"/>
  <c r="J33" i="4"/>
  <c r="K33" i="4"/>
  <c r="H33" i="4"/>
  <c r="H30" i="4"/>
  <c r="J16" i="4"/>
  <c r="J19" i="4" s="1"/>
  <c r="J13" i="4"/>
  <c r="J11" i="4"/>
  <c r="J10" i="4"/>
  <c r="J12" i="4" s="1"/>
  <c r="K70" i="8"/>
  <c r="N68" i="8"/>
  <c r="K68" i="8"/>
  <c r="L68" i="8"/>
  <c r="M68" i="8"/>
  <c r="K10" i="8"/>
  <c r="M25" i="15"/>
  <c r="N25" i="15" s="1"/>
  <c r="L25" i="15"/>
  <c r="K25" i="15"/>
  <c r="H25" i="15"/>
  <c r="I25" i="15"/>
  <c r="J25" i="15"/>
  <c r="G25" i="15"/>
  <c r="J24" i="15"/>
  <c r="M23" i="15"/>
  <c r="N23" i="15"/>
  <c r="L23" i="15"/>
  <c r="K23" i="15"/>
  <c r="J23" i="15"/>
  <c r="H22" i="15"/>
  <c r="I22" i="15"/>
  <c r="J22" i="15"/>
  <c r="G22" i="15"/>
  <c r="M65" i="6"/>
  <c r="N65" i="6"/>
  <c r="L65" i="6"/>
  <c r="K65" i="6"/>
  <c r="M63" i="6"/>
  <c r="N63" i="6"/>
  <c r="L63" i="6"/>
  <c r="K63" i="6"/>
  <c r="L79" i="6"/>
  <c r="M79" i="6"/>
  <c r="N79" i="6"/>
  <c r="K79" i="6"/>
  <c r="L78" i="6"/>
  <c r="M78" i="6"/>
  <c r="N78" i="6"/>
  <c r="K78" i="6"/>
  <c r="L77" i="6"/>
  <c r="M77" i="6"/>
  <c r="N77" i="6"/>
  <c r="K77" i="6"/>
  <c r="H83" i="6"/>
  <c r="I83" i="6"/>
  <c r="J83" i="6"/>
  <c r="G83" i="6"/>
  <c r="H82" i="6"/>
  <c r="I82" i="6"/>
  <c r="J82" i="6"/>
  <c r="G82" i="6"/>
  <c r="H81" i="6"/>
  <c r="I81" i="6"/>
  <c r="J81" i="6"/>
  <c r="G81" i="6"/>
  <c r="H79" i="6"/>
  <c r="I79" i="6"/>
  <c r="J79" i="6"/>
  <c r="G79" i="6"/>
  <c r="H78" i="6"/>
  <c r="I78" i="6"/>
  <c r="J78" i="6"/>
  <c r="G78" i="6"/>
  <c r="H77" i="6"/>
  <c r="I77" i="6"/>
  <c r="J77" i="6"/>
  <c r="G77" i="6"/>
  <c r="K69" i="6"/>
  <c r="L69" i="6" s="1"/>
  <c r="M69" i="6" s="1"/>
  <c r="N69" i="6" s="1"/>
  <c r="K68" i="6"/>
  <c r="L68" i="6" s="1"/>
  <c r="M68" i="6" s="1"/>
  <c r="N68" i="6" s="1"/>
  <c r="L67" i="6"/>
  <c r="M67" i="6" s="1"/>
  <c r="N67" i="6" s="1"/>
  <c r="K67" i="6"/>
  <c r="L61" i="6"/>
  <c r="M61" i="6" s="1"/>
  <c r="N61" i="6" s="1"/>
  <c r="K61" i="6"/>
  <c r="L59" i="6"/>
  <c r="M59" i="6" s="1"/>
  <c r="N59" i="6" s="1"/>
  <c r="K59" i="6"/>
  <c r="N56" i="6"/>
  <c r="M56" i="6"/>
  <c r="L56" i="6"/>
  <c r="K56" i="6"/>
  <c r="K55" i="6"/>
  <c r="L55" i="6" s="1"/>
  <c r="M55" i="6" s="1"/>
  <c r="N55" i="6" s="1"/>
  <c r="K54" i="6"/>
  <c r="L54" i="6" s="1"/>
  <c r="M54" i="6" s="1"/>
  <c r="N54" i="6" s="1"/>
  <c r="K53" i="6"/>
  <c r="L53" i="6" s="1"/>
  <c r="M53" i="6" s="1"/>
  <c r="N53" i="6" s="1"/>
  <c r="K52" i="6"/>
  <c r="L52" i="6" s="1"/>
  <c r="M52" i="6" s="1"/>
  <c r="N52" i="6" s="1"/>
  <c r="K51" i="6"/>
  <c r="L51" i="6" s="1"/>
  <c r="M51" i="6" s="1"/>
  <c r="N51" i="6" s="1"/>
  <c r="L50" i="6"/>
  <c r="M50" i="6" s="1"/>
  <c r="N50" i="6" s="1"/>
  <c r="K50" i="6"/>
  <c r="L44" i="6"/>
  <c r="M44" i="6"/>
  <c r="N44" i="6"/>
  <c r="K44" i="6"/>
  <c r="N42" i="6"/>
  <c r="L42" i="6"/>
  <c r="M42" i="6"/>
  <c r="K42" i="6"/>
  <c r="K36" i="6"/>
  <c r="L36" i="6" s="1"/>
  <c r="M36" i="6" s="1"/>
  <c r="N36" i="6" s="1"/>
  <c r="K35" i="6"/>
  <c r="L35" i="6" s="1"/>
  <c r="M35" i="6" s="1"/>
  <c r="N35" i="6" s="1"/>
  <c r="L34" i="6"/>
  <c r="M34" i="6"/>
  <c r="N34" i="6"/>
  <c r="K34" i="6"/>
  <c r="L33" i="6"/>
  <c r="M33" i="6" s="1"/>
  <c r="N33" i="6" s="1"/>
  <c r="K33" i="6"/>
  <c r="L32" i="6"/>
  <c r="M32" i="6"/>
  <c r="N32" i="6"/>
  <c r="K32" i="6"/>
  <c r="L31" i="6"/>
  <c r="M31" i="6"/>
  <c r="N31" i="6"/>
  <c r="K31" i="6"/>
  <c r="L29" i="6"/>
  <c r="M29" i="6"/>
  <c r="N29" i="6"/>
  <c r="K29" i="6"/>
  <c r="L23" i="6"/>
  <c r="M23" i="6" s="1"/>
  <c r="N23" i="6" s="1"/>
  <c r="L22" i="6"/>
  <c r="M22" i="6" s="1"/>
  <c r="N22" i="6" s="1"/>
  <c r="L21" i="6"/>
  <c r="M21" i="6" s="1"/>
  <c r="N21" i="6" s="1"/>
  <c r="L20" i="6"/>
  <c r="M20" i="6" s="1"/>
  <c r="N20" i="6" s="1"/>
  <c r="L19" i="6"/>
  <c r="M19" i="6" s="1"/>
  <c r="N19" i="6" s="1"/>
  <c r="L18" i="6"/>
  <c r="M18" i="6" s="1"/>
  <c r="N18" i="6" s="1"/>
  <c r="L17" i="6"/>
  <c r="M17" i="6" s="1"/>
  <c r="N17" i="6" s="1"/>
  <c r="L16" i="6"/>
  <c r="M16" i="6" s="1"/>
  <c r="N16" i="6" s="1"/>
  <c r="L15" i="6"/>
  <c r="M15" i="6" s="1"/>
  <c r="N15" i="6" s="1"/>
  <c r="L14" i="6"/>
  <c r="M14" i="6"/>
  <c r="N14" i="6"/>
  <c r="L13" i="6"/>
  <c r="M13" i="6"/>
  <c r="N13" i="6"/>
  <c r="L12" i="6"/>
  <c r="M12" i="6"/>
  <c r="N12" i="6"/>
  <c r="K12" i="6"/>
  <c r="K13" i="6"/>
  <c r="K14" i="6"/>
  <c r="K15" i="6"/>
  <c r="K16" i="6"/>
  <c r="K17" i="6"/>
  <c r="K18" i="6"/>
  <c r="K19" i="6"/>
  <c r="K20" i="6"/>
  <c r="K21" i="6"/>
  <c r="K22" i="6"/>
  <c r="K23" i="6"/>
  <c r="L11" i="6"/>
  <c r="M11" i="6"/>
  <c r="N11" i="6" s="1"/>
  <c r="K11" i="6"/>
  <c r="K29" i="5"/>
  <c r="K13" i="15"/>
  <c r="K17" i="15"/>
  <c r="N18" i="15"/>
  <c r="M18" i="15"/>
  <c r="L18" i="15"/>
  <c r="K18" i="15"/>
  <c r="N16" i="15"/>
  <c r="M16" i="15"/>
  <c r="K16" i="15"/>
  <c r="L16" i="15" s="1"/>
  <c r="I18" i="15"/>
  <c r="J18" i="15"/>
  <c r="H18" i="15"/>
  <c r="H17" i="15"/>
  <c r="I17" i="15"/>
  <c r="J17" i="15"/>
  <c r="G17" i="15"/>
  <c r="H16" i="15"/>
  <c r="I16" i="15"/>
  <c r="J16" i="15"/>
  <c r="G16" i="15"/>
  <c r="J14" i="15"/>
  <c r="I14" i="15"/>
  <c r="H14" i="15"/>
  <c r="G14" i="15"/>
  <c r="J10" i="15"/>
  <c r="I13" i="15"/>
  <c r="I11" i="15"/>
  <c r="I10" i="15"/>
  <c r="H13" i="15"/>
  <c r="H12" i="15"/>
  <c r="H11" i="15"/>
  <c r="G13" i="15"/>
  <c r="G12" i="15"/>
  <c r="G10" i="15"/>
  <c r="H7" i="15"/>
  <c r="I7" i="15"/>
  <c r="J7" i="15"/>
  <c r="G7" i="15"/>
  <c r="A7" i="15"/>
  <c r="N16" i="13"/>
  <c r="M16" i="13"/>
  <c r="L16" i="13"/>
  <c r="K16" i="13"/>
  <c r="N15" i="13"/>
  <c r="M15" i="13"/>
  <c r="L15" i="13"/>
  <c r="K15" i="13"/>
  <c r="M14" i="13"/>
  <c r="N14" i="13"/>
  <c r="L14" i="13"/>
  <c r="K14" i="13"/>
  <c r="H18" i="13"/>
  <c r="I18" i="13"/>
  <c r="G18" i="13"/>
  <c r="A18" i="13"/>
  <c r="H20" i="13"/>
  <c r="I20" i="13"/>
  <c r="G20" i="13"/>
  <c r="H19" i="13"/>
  <c r="I19" i="13"/>
  <c r="J19" i="13"/>
  <c r="G19" i="13"/>
  <c r="A19" i="13"/>
  <c r="F40" i="5"/>
  <c r="G40" i="5"/>
  <c r="H40" i="5"/>
  <c r="I40" i="5"/>
  <c r="J15" i="13"/>
  <c r="J16" i="13"/>
  <c r="J14" i="13"/>
  <c r="I15" i="13"/>
  <c r="I16" i="13"/>
  <c r="I14" i="13"/>
  <c r="H16" i="13"/>
  <c r="H15" i="13"/>
  <c r="G15" i="13"/>
  <c r="G16" i="13"/>
  <c r="G14" i="13"/>
  <c r="H14" i="13"/>
  <c r="A16" i="13"/>
  <c r="A15" i="13"/>
  <c r="A14" i="13"/>
  <c r="H11" i="13"/>
  <c r="I11" i="13"/>
  <c r="J11" i="13"/>
  <c r="G11" i="13"/>
  <c r="H10" i="13"/>
  <c r="I10" i="13"/>
  <c r="J10" i="13"/>
  <c r="G10" i="13"/>
  <c r="H9" i="13"/>
  <c r="I9" i="13"/>
  <c r="J9" i="13"/>
  <c r="G9" i="13"/>
  <c r="H7" i="13"/>
  <c r="I7" i="13"/>
  <c r="J7" i="13"/>
  <c r="G7" i="13"/>
  <c r="A11" i="13"/>
  <c r="A10" i="13"/>
  <c r="A9" i="13"/>
  <c r="A7" i="13"/>
  <c r="L70" i="11"/>
  <c r="M70" i="11" s="1"/>
  <c r="N70" i="11" s="1"/>
  <c r="M67" i="11"/>
  <c r="N67" i="11" s="1"/>
  <c r="K70" i="11"/>
  <c r="L67" i="11"/>
  <c r="K67" i="11"/>
  <c r="N75" i="11"/>
  <c r="M75" i="11"/>
  <c r="L75" i="11"/>
  <c r="K75" i="11"/>
  <c r="M72" i="11"/>
  <c r="L72" i="11"/>
  <c r="N72" i="11"/>
  <c r="K72" i="11"/>
  <c r="N62" i="11"/>
  <c r="M62" i="11"/>
  <c r="L62" i="11"/>
  <c r="K62" i="11"/>
  <c r="N53" i="11"/>
  <c r="M53" i="11"/>
  <c r="L53" i="11"/>
  <c r="K53" i="11"/>
  <c r="N52" i="11"/>
  <c r="M52" i="11"/>
  <c r="L52" i="11"/>
  <c r="K52" i="11"/>
  <c r="N51" i="11"/>
  <c r="M51" i="11"/>
  <c r="L51" i="11"/>
  <c r="K51" i="11"/>
  <c r="N50" i="11"/>
  <c r="M50" i="11"/>
  <c r="L50" i="11"/>
  <c r="K50" i="11"/>
  <c r="N49" i="11"/>
  <c r="M49" i="11"/>
  <c r="L49" i="11"/>
  <c r="K49" i="11"/>
  <c r="N48" i="11"/>
  <c r="M48" i="11"/>
  <c r="L48" i="11"/>
  <c r="K48" i="11"/>
  <c r="L85" i="11"/>
  <c r="M85" i="11" s="1"/>
  <c r="N85" i="11" s="1"/>
  <c r="M84" i="11"/>
  <c r="N84" i="11" s="1"/>
  <c r="L84" i="11"/>
  <c r="L83" i="11"/>
  <c r="M83" i="11" s="1"/>
  <c r="N83" i="11" s="1"/>
  <c r="L82" i="11"/>
  <c r="M82" i="11" s="1"/>
  <c r="N82" i="11" s="1"/>
  <c r="L81" i="11"/>
  <c r="M81" i="11" s="1"/>
  <c r="N81" i="11" s="1"/>
  <c r="M80" i="11"/>
  <c r="N80" i="11" s="1"/>
  <c r="L80" i="11"/>
  <c r="L79" i="11"/>
  <c r="M79" i="11" s="1"/>
  <c r="N79" i="11" s="1"/>
  <c r="L78" i="11"/>
  <c r="M78" i="11" s="1"/>
  <c r="N78" i="11" s="1"/>
  <c r="L77" i="11"/>
  <c r="M77" i="11" s="1"/>
  <c r="N77" i="11" s="1"/>
  <c r="K85" i="11"/>
  <c r="K84" i="11"/>
  <c r="K83" i="11"/>
  <c r="K82" i="11"/>
  <c r="K81" i="11"/>
  <c r="K80" i="11"/>
  <c r="K79" i="11"/>
  <c r="K78" i="11"/>
  <c r="K77" i="11"/>
  <c r="L27" i="11"/>
  <c r="M27" i="11" s="1"/>
  <c r="N27" i="11" s="1"/>
  <c r="K27" i="11"/>
  <c r="L26" i="11"/>
  <c r="M26" i="11" s="1"/>
  <c r="N26" i="11" s="1"/>
  <c r="K26" i="11"/>
  <c r="M25" i="11"/>
  <c r="N25" i="11" s="1"/>
  <c r="L25" i="11"/>
  <c r="K25" i="11"/>
  <c r="L22" i="11"/>
  <c r="M22" i="11" s="1"/>
  <c r="N22" i="11" s="1"/>
  <c r="K22" i="11"/>
  <c r="N40" i="11"/>
  <c r="M40" i="11"/>
  <c r="L40" i="11"/>
  <c r="N38" i="11"/>
  <c r="M38" i="11"/>
  <c r="L38" i="11"/>
  <c r="N39" i="11"/>
  <c r="M39" i="11"/>
  <c r="L39" i="11"/>
  <c r="K39" i="11"/>
  <c r="K40" i="11"/>
  <c r="K38" i="11"/>
  <c r="N35" i="11"/>
  <c r="M35" i="11"/>
  <c r="L35" i="11"/>
  <c r="K35" i="11"/>
  <c r="N37" i="11"/>
  <c r="M37" i="11"/>
  <c r="L37" i="11"/>
  <c r="N36" i="11"/>
  <c r="M36" i="11"/>
  <c r="L36" i="11"/>
  <c r="L24" i="11"/>
  <c r="K24" i="11"/>
  <c r="K37" i="11"/>
  <c r="L23" i="11"/>
  <c r="K23" i="11"/>
  <c r="K36" i="11"/>
  <c r="P23" i="11"/>
  <c r="O23" i="11"/>
  <c r="I89" i="11"/>
  <c r="J89" i="11"/>
  <c r="I90" i="11"/>
  <c r="J90" i="11"/>
  <c r="I91" i="11"/>
  <c r="J91" i="11"/>
  <c r="I92" i="11"/>
  <c r="J92" i="11"/>
  <c r="H90" i="11"/>
  <c r="H91" i="11"/>
  <c r="H92" i="11"/>
  <c r="H89" i="11"/>
  <c r="I77" i="11"/>
  <c r="J77" i="11"/>
  <c r="I78" i="11"/>
  <c r="J78" i="11"/>
  <c r="I79" i="11"/>
  <c r="J79" i="11"/>
  <c r="I80" i="11"/>
  <c r="J80" i="11"/>
  <c r="I81" i="11"/>
  <c r="J81" i="11"/>
  <c r="I82" i="11"/>
  <c r="J82" i="11"/>
  <c r="I83" i="11"/>
  <c r="J83" i="11"/>
  <c r="I84" i="11"/>
  <c r="J84" i="11"/>
  <c r="I85" i="11"/>
  <c r="J85" i="11"/>
  <c r="H78" i="11"/>
  <c r="H79" i="11"/>
  <c r="H80" i="11"/>
  <c r="H81" i="11"/>
  <c r="H82" i="11"/>
  <c r="H83" i="11"/>
  <c r="H84" i="11"/>
  <c r="H85" i="11"/>
  <c r="H77" i="11"/>
  <c r="J72" i="11"/>
  <c r="J73" i="11"/>
  <c r="J74" i="11"/>
  <c r="J75" i="11"/>
  <c r="I73" i="11"/>
  <c r="I74" i="11"/>
  <c r="I75" i="11"/>
  <c r="I67" i="11"/>
  <c r="J67" i="11"/>
  <c r="I68" i="11"/>
  <c r="J68" i="11"/>
  <c r="I69" i="11"/>
  <c r="J69" i="11"/>
  <c r="I70" i="11"/>
  <c r="J70" i="11"/>
  <c r="H68" i="11"/>
  <c r="H69" i="11"/>
  <c r="H70" i="11"/>
  <c r="H67" i="11"/>
  <c r="I72" i="11"/>
  <c r="I61" i="11"/>
  <c r="J61" i="11"/>
  <c r="I62" i="11"/>
  <c r="J62" i="11"/>
  <c r="I63" i="11"/>
  <c r="J63" i="11"/>
  <c r="I64" i="11"/>
  <c r="J64" i="11"/>
  <c r="H64" i="11"/>
  <c r="H63" i="11"/>
  <c r="H62" i="11"/>
  <c r="H61" i="11"/>
  <c r="I56" i="11"/>
  <c r="J56" i="11"/>
  <c r="H56" i="11"/>
  <c r="J51" i="11"/>
  <c r="J47" i="11"/>
  <c r="I47" i="11"/>
  <c r="J42" i="11"/>
  <c r="J41" i="11"/>
  <c r="J40" i="11"/>
  <c r="J39" i="11"/>
  <c r="J38" i="11"/>
  <c r="J37" i="11"/>
  <c r="J36" i="11"/>
  <c r="J35" i="11"/>
  <c r="J34" i="11"/>
  <c r="J43" i="11" s="1"/>
  <c r="I34" i="11"/>
  <c r="I43" i="11" s="1"/>
  <c r="H43" i="11"/>
  <c r="G43" i="11"/>
  <c r="F43" i="11"/>
  <c r="H11" i="11"/>
  <c r="I11" i="11" s="1"/>
  <c r="J11" i="11" s="1"/>
  <c r="H12" i="11"/>
  <c r="I12" i="11"/>
  <c r="J12" i="11" s="1"/>
  <c r="H13" i="11"/>
  <c r="I13" i="11" s="1"/>
  <c r="J13" i="11" s="1"/>
  <c r="H14" i="11"/>
  <c r="I14" i="11"/>
  <c r="J14" i="11" s="1"/>
  <c r="G12" i="11"/>
  <c r="G13" i="11"/>
  <c r="G14" i="11"/>
  <c r="G11" i="11"/>
  <c r="G7" i="11"/>
  <c r="H7" i="11"/>
  <c r="I7" i="11"/>
  <c r="J7" i="11"/>
  <c r="F7" i="11"/>
  <c r="K4" i="11"/>
  <c r="L4" i="11" s="1"/>
  <c r="M4" i="11" s="1"/>
  <c r="N4" i="11" s="1"/>
  <c r="D1" i="11"/>
  <c r="I71" i="8"/>
  <c r="H71" i="8"/>
  <c r="I69" i="8"/>
  <c r="I73" i="8" s="1"/>
  <c r="J70" i="8" s="1"/>
  <c r="J68" i="8"/>
  <c r="I68" i="8"/>
  <c r="H68" i="8"/>
  <c r="H69" i="8" s="1"/>
  <c r="H73" i="8" s="1"/>
  <c r="J60" i="8"/>
  <c r="I56" i="8"/>
  <c r="I60" i="8" s="1"/>
  <c r="H56" i="8"/>
  <c r="H60" i="8" s="1"/>
  <c r="J40" i="8"/>
  <c r="J42" i="8" s="1"/>
  <c r="J69" i="8" s="1"/>
  <c r="I33" i="8"/>
  <c r="H33" i="8"/>
  <c r="I32" i="8"/>
  <c r="H32" i="8"/>
  <c r="J25" i="8"/>
  <c r="I25" i="8"/>
  <c r="H25" i="8"/>
  <c r="G72" i="8"/>
  <c r="F72" i="8"/>
  <c r="G71" i="8"/>
  <c r="F71" i="8"/>
  <c r="G70" i="8"/>
  <c r="F70" i="8"/>
  <c r="G67" i="8"/>
  <c r="F67" i="8"/>
  <c r="G66" i="8"/>
  <c r="F66" i="8"/>
  <c r="G65" i="8"/>
  <c r="F65" i="8"/>
  <c r="G64" i="8"/>
  <c r="F64" i="8"/>
  <c r="G63" i="8"/>
  <c r="G68" i="8" s="1"/>
  <c r="G69" i="8" s="1"/>
  <c r="G73" i="8" s="1"/>
  <c r="F63" i="8"/>
  <c r="F68" i="8" s="1"/>
  <c r="F69" i="8" s="1"/>
  <c r="F73" i="8" s="1"/>
  <c r="G58" i="8"/>
  <c r="F58" i="8"/>
  <c r="G57" i="8"/>
  <c r="F57" i="8"/>
  <c r="G56" i="8"/>
  <c r="F56" i="8"/>
  <c r="G55" i="8"/>
  <c r="F55" i="8"/>
  <c r="G54" i="8"/>
  <c r="F54" i="8"/>
  <c r="G53" i="8"/>
  <c r="F53" i="8"/>
  <c r="G52" i="8"/>
  <c r="F52" i="8"/>
  <c r="G51" i="8"/>
  <c r="F51" i="8"/>
  <c r="G50" i="8"/>
  <c r="F50" i="8"/>
  <c r="G49" i="8"/>
  <c r="F49" i="8"/>
  <c r="G48" i="8"/>
  <c r="F48" i="8"/>
  <c r="G46" i="8"/>
  <c r="F46" i="8"/>
  <c r="G45" i="8"/>
  <c r="G60" i="8" s="1"/>
  <c r="F45" i="8"/>
  <c r="F60" i="8" s="1"/>
  <c r="G41" i="8"/>
  <c r="F41" i="8"/>
  <c r="G39" i="8"/>
  <c r="F39" i="8"/>
  <c r="G38" i="8"/>
  <c r="F38" i="8"/>
  <c r="G37" i="8"/>
  <c r="F37" i="8"/>
  <c r="G36" i="8"/>
  <c r="F36" i="8"/>
  <c r="G35" i="8"/>
  <c r="F35" i="8"/>
  <c r="G34" i="8"/>
  <c r="F34" i="8"/>
  <c r="G33" i="8"/>
  <c r="F33" i="8"/>
  <c r="G32" i="8"/>
  <c r="F32" i="8"/>
  <c r="G31" i="8"/>
  <c r="F31" i="8"/>
  <c r="G30" i="8"/>
  <c r="F30" i="8"/>
  <c r="G29" i="8"/>
  <c r="F29" i="8"/>
  <c r="G28" i="8"/>
  <c r="F28" i="8"/>
  <c r="G27" i="8"/>
  <c r="G40" i="8" s="1"/>
  <c r="G42" i="8" s="1"/>
  <c r="F27" i="8"/>
  <c r="F40" i="8" s="1"/>
  <c r="F42" i="8" s="1"/>
  <c r="G23" i="8"/>
  <c r="F23" i="8"/>
  <c r="F22" i="8"/>
  <c r="G21" i="8"/>
  <c r="F21" i="8"/>
  <c r="F20" i="8"/>
  <c r="G19" i="8"/>
  <c r="F19" i="8"/>
  <c r="G18" i="8"/>
  <c r="G25" i="8" s="1"/>
  <c r="F18" i="8"/>
  <c r="F25" i="8" s="1"/>
  <c r="G17" i="8"/>
  <c r="F17" i="8"/>
  <c r="F16" i="8"/>
  <c r="G15" i="8"/>
  <c r="F15" i="8"/>
  <c r="G14" i="8"/>
  <c r="F14" i="8"/>
  <c r="G13" i="8"/>
  <c r="F13" i="8"/>
  <c r="G12" i="8"/>
  <c r="F12" i="8"/>
  <c r="G11" i="8"/>
  <c r="F11" i="8"/>
  <c r="G10" i="8"/>
  <c r="F10" i="8"/>
  <c r="G8" i="8"/>
  <c r="F8" i="8"/>
  <c r="G73" i="6"/>
  <c r="H73" i="6"/>
  <c r="I73" i="6"/>
  <c r="F73" i="6"/>
  <c r="J70" i="6"/>
  <c r="J71" i="6" s="1"/>
  <c r="J73" i="6" s="1"/>
  <c r="I70" i="6"/>
  <c r="I71" i="6" s="1"/>
  <c r="H70" i="6"/>
  <c r="H71" i="6" s="1"/>
  <c r="J56" i="6"/>
  <c r="I56" i="6"/>
  <c r="H56" i="6"/>
  <c r="H45" i="6"/>
  <c r="I45" i="6"/>
  <c r="J45" i="6"/>
  <c r="G38" i="6"/>
  <c r="F38" i="6"/>
  <c r="J38" i="6"/>
  <c r="I38" i="6"/>
  <c r="H38" i="6"/>
  <c r="H25" i="6"/>
  <c r="I25" i="6"/>
  <c r="J25" i="6"/>
  <c r="G25" i="6"/>
  <c r="F25" i="6"/>
  <c r="G69" i="6"/>
  <c r="F69" i="6"/>
  <c r="G68" i="6"/>
  <c r="F68" i="6"/>
  <c r="G67" i="6"/>
  <c r="F67" i="6"/>
  <c r="G65" i="6"/>
  <c r="F65" i="6"/>
  <c r="G64" i="6"/>
  <c r="F64" i="6"/>
  <c r="G63" i="6"/>
  <c r="F63" i="6"/>
  <c r="G61" i="6"/>
  <c r="F61" i="6"/>
  <c r="G60" i="6"/>
  <c r="F60" i="6"/>
  <c r="G59" i="6"/>
  <c r="G70" i="6" s="1"/>
  <c r="G71" i="6" s="1"/>
  <c r="F59" i="6"/>
  <c r="F70" i="6" s="1"/>
  <c r="F71" i="6" s="1"/>
  <c r="G55" i="6"/>
  <c r="F55" i="6"/>
  <c r="G54" i="6"/>
  <c r="F54" i="6"/>
  <c r="G53" i="6"/>
  <c r="F53" i="6"/>
  <c r="G52" i="6"/>
  <c r="F52" i="6"/>
  <c r="G51" i="6"/>
  <c r="F51" i="6"/>
  <c r="G50" i="6"/>
  <c r="G56" i="6" s="1"/>
  <c r="F50" i="6"/>
  <c r="F56" i="6" s="1"/>
  <c r="G45" i="6"/>
  <c r="F45" i="6"/>
  <c r="G44" i="6"/>
  <c r="F44" i="6"/>
  <c r="G43" i="6"/>
  <c r="F43" i="6"/>
  <c r="G42" i="6"/>
  <c r="F42" i="6"/>
  <c r="G36" i="6"/>
  <c r="F36" i="6"/>
  <c r="G34" i="6"/>
  <c r="F34" i="6"/>
  <c r="G33" i="6"/>
  <c r="F33" i="6"/>
  <c r="G32" i="6"/>
  <c r="F32" i="6"/>
  <c r="G31" i="6"/>
  <c r="F31" i="6"/>
  <c r="G30" i="6"/>
  <c r="F30" i="6"/>
  <c r="G29" i="6"/>
  <c r="F29" i="6"/>
  <c r="G27" i="6"/>
  <c r="F27" i="6"/>
  <c r="G23" i="6"/>
  <c r="F23" i="6"/>
  <c r="G22" i="6"/>
  <c r="F22" i="6"/>
  <c r="G21" i="6"/>
  <c r="F21" i="6"/>
  <c r="G20" i="6"/>
  <c r="F20" i="6"/>
  <c r="G19" i="6"/>
  <c r="F19" i="6"/>
  <c r="G18" i="6"/>
  <c r="F18" i="6"/>
  <c r="G16" i="6"/>
  <c r="F16" i="6"/>
  <c r="G15" i="6"/>
  <c r="F15" i="6"/>
  <c r="G14" i="6"/>
  <c r="F14" i="6"/>
  <c r="G13" i="6"/>
  <c r="F13" i="6"/>
  <c r="G12" i="6"/>
  <c r="F12" i="6"/>
  <c r="G11" i="6"/>
  <c r="F11" i="6"/>
  <c r="G10" i="6"/>
  <c r="F10" i="6"/>
  <c r="G17" i="5"/>
  <c r="H17" i="5"/>
  <c r="I17" i="5"/>
  <c r="J17" i="5"/>
  <c r="G16" i="5"/>
  <c r="H16" i="5"/>
  <c r="I16" i="5"/>
  <c r="I26" i="5" s="1"/>
  <c r="I27" i="5" s="1"/>
  <c r="J16" i="5"/>
  <c r="I13" i="5"/>
  <c r="I12" i="5"/>
  <c r="G14" i="5"/>
  <c r="H14" i="5"/>
  <c r="I14" i="5"/>
  <c r="J14" i="5"/>
  <c r="G13" i="5"/>
  <c r="G12" i="5"/>
  <c r="J9" i="5"/>
  <c r="I9" i="5"/>
  <c r="H9" i="5"/>
  <c r="I8" i="5"/>
  <c r="G8" i="5"/>
  <c r="F8" i="5"/>
  <c r="J7" i="5"/>
  <c r="I7" i="5"/>
  <c r="H7" i="5"/>
  <c r="G7" i="5"/>
  <c r="G9" i="5" s="1"/>
  <c r="F7" i="5"/>
  <c r="F9" i="5" s="1"/>
  <c r="F16" i="5" s="1"/>
  <c r="I49" i="5"/>
  <c r="H49" i="5"/>
  <c r="I48" i="5"/>
  <c r="H48" i="5"/>
  <c r="F48" i="5"/>
  <c r="F49" i="5" s="1"/>
  <c r="E48" i="5"/>
  <c r="E49" i="5" s="1"/>
  <c r="D48" i="5"/>
  <c r="D49" i="5" s="1"/>
  <c r="I42" i="5"/>
  <c r="H42" i="5"/>
  <c r="G42" i="5"/>
  <c r="F42" i="5"/>
  <c r="E42" i="5"/>
  <c r="D42" i="5"/>
  <c r="I39" i="5"/>
  <c r="G39" i="5"/>
  <c r="E39" i="5"/>
  <c r="D39" i="5"/>
  <c r="I35" i="5"/>
  <c r="G35" i="5"/>
  <c r="F35" i="5"/>
  <c r="E35" i="5"/>
  <c r="D35" i="5"/>
  <c r="E33" i="5"/>
  <c r="E36" i="5" s="1"/>
  <c r="D33" i="5"/>
  <c r="D36" i="5" s="1"/>
  <c r="I32" i="5"/>
  <c r="G32" i="5"/>
  <c r="F32" i="5"/>
  <c r="E32" i="5"/>
  <c r="D32" i="5"/>
  <c r="I31" i="5"/>
  <c r="G31" i="5"/>
  <c r="F31" i="5"/>
  <c r="E31" i="5"/>
  <c r="D31" i="5"/>
  <c r="I29" i="5"/>
  <c r="G29" i="5"/>
  <c r="F29" i="5"/>
  <c r="E29" i="5"/>
  <c r="D29" i="5"/>
  <c r="H27" i="5"/>
  <c r="G27" i="5"/>
  <c r="E27" i="5"/>
  <c r="D27" i="5"/>
  <c r="H26" i="5"/>
  <c r="H33" i="5" s="1"/>
  <c r="H36" i="5" s="1"/>
  <c r="G26" i="5"/>
  <c r="E26" i="5"/>
  <c r="D26" i="5"/>
  <c r="J24" i="5"/>
  <c r="H24" i="5"/>
  <c r="G24" i="5"/>
  <c r="E24" i="5"/>
  <c r="J23" i="5"/>
  <c r="I23" i="5"/>
  <c r="G23" i="5"/>
  <c r="F23" i="5"/>
  <c r="E23" i="5"/>
  <c r="D23" i="5"/>
  <c r="I22" i="5"/>
  <c r="G22" i="5"/>
  <c r="F22" i="5"/>
  <c r="E22" i="5"/>
  <c r="D22" i="5"/>
  <c r="I21" i="5"/>
  <c r="H21" i="5"/>
  <c r="G21" i="5"/>
  <c r="F21" i="5"/>
  <c r="F24" i="5" s="1"/>
  <c r="E21" i="5"/>
  <c r="D21" i="5"/>
  <c r="D24" i="5" s="1"/>
  <c r="I20" i="5"/>
  <c r="I24" i="5" s="1"/>
  <c r="G20" i="5"/>
  <c r="F20" i="5"/>
  <c r="E20" i="5"/>
  <c r="D20" i="5"/>
  <c r="F13" i="5"/>
  <c r="F14" i="5" s="1"/>
  <c r="F12" i="5"/>
  <c r="K4" i="8"/>
  <c r="L4" i="8" s="1"/>
  <c r="M4" i="8" s="1"/>
  <c r="N4" i="8" s="1"/>
  <c r="D1" i="8"/>
  <c r="K4" i="6"/>
  <c r="L4" i="6" s="1"/>
  <c r="M4" i="6" s="1"/>
  <c r="N4" i="6" s="1"/>
  <c r="D1" i="6"/>
  <c r="K4" i="5"/>
  <c r="L4" i="5" s="1"/>
  <c r="M4" i="5" s="1"/>
  <c r="N4" i="5" s="1"/>
  <c r="D1" i="5"/>
  <c r="D1" i="4"/>
  <c r="M23" i="11" l="1"/>
  <c r="M24" i="11"/>
  <c r="J73" i="8"/>
  <c r="J26" i="5"/>
  <c r="J33" i="5"/>
  <c r="J36" i="5" s="1"/>
  <c r="J27" i="5"/>
  <c r="G33" i="5"/>
  <c r="G36" i="5" s="1"/>
  <c r="I33" i="5"/>
  <c r="I36" i="5" s="1"/>
  <c r="F26" i="5"/>
  <c r="F27" i="5" s="1"/>
  <c r="F17" i="5"/>
  <c r="F33" i="5"/>
  <c r="F36" i="5" s="1"/>
  <c r="F37" i="5" s="1"/>
  <c r="H37" i="5"/>
  <c r="G37" i="5"/>
  <c r="G45" i="5"/>
  <c r="E37" i="5"/>
  <c r="E40" i="5"/>
  <c r="E45" i="5"/>
  <c r="D40" i="5"/>
  <c r="D37" i="5"/>
  <c r="D45" i="5"/>
  <c r="H45" i="5"/>
  <c r="J45" i="5" l="1"/>
  <c r="J40" i="5"/>
  <c r="J18" i="13" s="1"/>
  <c r="J20" i="13" s="1"/>
  <c r="I37" i="5"/>
  <c r="I45" i="5"/>
  <c r="F45" i="5"/>
  <c r="F52" i="5"/>
  <c r="F53" i="5"/>
  <c r="H52" i="5"/>
  <c r="H53" i="5"/>
  <c r="D52" i="5"/>
  <c r="D53" i="5"/>
  <c r="E53" i="5"/>
  <c r="E52" i="5"/>
  <c r="I52" i="5"/>
  <c r="J52" i="5" s="1"/>
  <c r="I53" i="5"/>
  <c r="J53" i="5" s="1"/>
  <c r="G52" i="5"/>
  <c r="G53" i="5"/>
  <c r="K7" i="15"/>
  <c r="L7" i="15"/>
  <c r="M7" i="15"/>
  <c r="N7" i="15"/>
  <c r="K10" i="15"/>
  <c r="L10" i="15"/>
  <c r="M10" i="15"/>
  <c r="N10" i="15"/>
  <c r="K11" i="15"/>
  <c r="L11" i="15"/>
  <c r="M11" i="15"/>
  <c r="N11" i="15"/>
  <c r="L13" i="15"/>
  <c r="M13" i="15"/>
  <c r="N13" i="15"/>
  <c r="K14" i="15"/>
  <c r="L14" i="15"/>
  <c r="M14" i="15"/>
  <c r="N14" i="15"/>
  <c r="L17" i="15"/>
  <c r="M17" i="15"/>
  <c r="N17" i="15"/>
  <c r="K22" i="15"/>
  <c r="L22" i="15"/>
  <c r="M22" i="15"/>
  <c r="N22" i="15"/>
  <c r="K24" i="15"/>
  <c r="L24" i="15"/>
  <c r="M24" i="15"/>
  <c r="N24" i="15"/>
  <c r="K10" i="6"/>
  <c r="L10" i="6"/>
  <c r="M10" i="6"/>
  <c r="N10" i="6"/>
  <c r="K25" i="6"/>
  <c r="L25" i="6"/>
  <c r="M25" i="6"/>
  <c r="N25" i="6"/>
  <c r="K27" i="6"/>
  <c r="L27" i="6"/>
  <c r="M27" i="6"/>
  <c r="N27" i="6"/>
  <c r="K30" i="6"/>
  <c r="L30" i="6"/>
  <c r="M30" i="6"/>
  <c r="N30" i="6"/>
  <c r="K38" i="6"/>
  <c r="L38" i="6"/>
  <c r="M38" i="6"/>
  <c r="N38" i="6"/>
  <c r="K43" i="6"/>
  <c r="L43" i="6"/>
  <c r="M43" i="6"/>
  <c r="N43" i="6"/>
  <c r="K45" i="6"/>
  <c r="L45" i="6"/>
  <c r="M45" i="6"/>
  <c r="N45" i="6"/>
  <c r="K60" i="6"/>
  <c r="L60" i="6"/>
  <c r="M60" i="6"/>
  <c r="N60" i="6"/>
  <c r="K64" i="6"/>
  <c r="L64" i="6"/>
  <c r="M64" i="6"/>
  <c r="N64" i="6"/>
  <c r="K70" i="6"/>
  <c r="L70" i="6"/>
  <c r="M70" i="6"/>
  <c r="N70" i="6"/>
  <c r="K71" i="6"/>
  <c r="L71" i="6"/>
  <c r="M71" i="6"/>
  <c r="N71" i="6"/>
  <c r="K8" i="8"/>
  <c r="L8" i="8"/>
  <c r="M8" i="8"/>
  <c r="N8" i="8"/>
  <c r="L10" i="8"/>
  <c r="M10" i="8"/>
  <c r="N10" i="8"/>
  <c r="K25" i="8"/>
  <c r="L25" i="8"/>
  <c r="M25" i="8"/>
  <c r="N25" i="8"/>
  <c r="K27" i="8"/>
  <c r="L27" i="8"/>
  <c r="M27" i="8"/>
  <c r="N27" i="8"/>
  <c r="K28" i="8"/>
  <c r="L28" i="8"/>
  <c r="M28" i="8"/>
  <c r="N28" i="8"/>
  <c r="K35" i="8"/>
  <c r="L35" i="8"/>
  <c r="M35" i="8"/>
  <c r="N35" i="8"/>
  <c r="K36" i="8"/>
  <c r="L36" i="8"/>
  <c r="M36" i="8"/>
  <c r="N36" i="8"/>
  <c r="K41" i="8"/>
  <c r="L41" i="8"/>
  <c r="M41" i="8"/>
  <c r="N41" i="8"/>
  <c r="K42" i="8"/>
  <c r="L42" i="8"/>
  <c r="M42" i="8"/>
  <c r="N42" i="8"/>
  <c r="K45" i="8"/>
  <c r="L45" i="8"/>
  <c r="M45" i="8"/>
  <c r="N45" i="8"/>
  <c r="K60" i="8"/>
  <c r="L60" i="8"/>
  <c r="M60" i="8"/>
  <c r="N60" i="8"/>
  <c r="K69" i="8"/>
  <c r="L69" i="8"/>
  <c r="M69" i="8"/>
  <c r="N69" i="8"/>
  <c r="L70" i="8"/>
  <c r="M70" i="8"/>
  <c r="N70" i="8"/>
  <c r="K73" i="8"/>
  <c r="L73" i="8"/>
  <c r="M73" i="8"/>
  <c r="N73" i="8"/>
  <c r="K7" i="13"/>
  <c r="L7" i="13"/>
  <c r="M7" i="13"/>
  <c r="N7" i="13"/>
  <c r="K9" i="13"/>
  <c r="L9" i="13"/>
  <c r="M9" i="13"/>
  <c r="N9" i="13"/>
  <c r="K10" i="13"/>
  <c r="L10" i="13"/>
  <c r="M10" i="13"/>
  <c r="N10" i="13"/>
  <c r="K11" i="13"/>
  <c r="L11" i="13"/>
  <c r="M11" i="13"/>
  <c r="N11" i="13"/>
  <c r="K20" i="13"/>
  <c r="L20" i="13"/>
  <c r="M20" i="13"/>
  <c r="N20" i="13"/>
  <c r="H29" i="4"/>
  <c r="I29" i="4"/>
  <c r="J29" i="4"/>
  <c r="K29" i="4"/>
  <c r="I30" i="4"/>
  <c r="J30" i="4"/>
  <c r="K30" i="4"/>
  <c r="H31" i="4"/>
  <c r="I31" i="4"/>
  <c r="J31" i="4"/>
  <c r="K31" i="4"/>
  <c r="H32" i="4"/>
  <c r="I32" i="4"/>
  <c r="J32" i="4"/>
  <c r="K32" i="4"/>
  <c r="H34" i="4"/>
  <c r="I34" i="4"/>
  <c r="J34" i="4"/>
  <c r="K34" i="4"/>
  <c r="L34" i="4"/>
  <c r="M34" i="4"/>
  <c r="N34" i="4"/>
  <c r="O34" i="4"/>
  <c r="P34" i="4"/>
  <c r="Q34" i="4"/>
  <c r="R34" i="4"/>
  <c r="S34" i="4"/>
  <c r="S35" i="4"/>
  <c r="J36" i="4"/>
  <c r="K36" i="4"/>
  <c r="L36" i="4"/>
  <c r="M36" i="4"/>
  <c r="N36" i="4"/>
  <c r="O36" i="4"/>
  <c r="P36" i="4"/>
  <c r="Q36" i="4"/>
  <c r="R36" i="4"/>
  <c r="S36" i="4"/>
  <c r="H39" i="4"/>
  <c r="I39" i="4"/>
  <c r="J39" i="4"/>
  <c r="K39" i="4"/>
  <c r="L39" i="4"/>
  <c r="M39" i="4"/>
  <c r="N39" i="4"/>
  <c r="O39" i="4"/>
  <c r="P39" i="4"/>
  <c r="Q39" i="4"/>
  <c r="R39" i="4"/>
  <c r="S39" i="4"/>
  <c r="H40" i="4"/>
  <c r="H42" i="4"/>
  <c r="H44" i="4"/>
  <c r="K7" i="5"/>
  <c r="L7" i="5"/>
  <c r="M7" i="5"/>
  <c r="N7" i="5"/>
  <c r="K9" i="5"/>
  <c r="L9" i="5"/>
  <c r="M9" i="5"/>
  <c r="N9" i="5"/>
  <c r="K12" i="5"/>
  <c r="L12" i="5"/>
  <c r="M12" i="5"/>
  <c r="N12" i="5"/>
  <c r="K13" i="5"/>
  <c r="L13" i="5"/>
  <c r="M13" i="5"/>
  <c r="N13" i="5"/>
  <c r="K14" i="5"/>
  <c r="L14" i="5"/>
  <c r="M14" i="5"/>
  <c r="N14" i="5"/>
  <c r="K16" i="5"/>
  <c r="L16" i="5"/>
  <c r="M16" i="5"/>
  <c r="N16" i="5"/>
  <c r="K17" i="5"/>
  <c r="L17" i="5"/>
  <c r="M17" i="5"/>
  <c r="N17" i="5"/>
  <c r="K23" i="5"/>
  <c r="L23" i="5"/>
  <c r="M23" i="5"/>
  <c r="N23" i="5"/>
  <c r="K26" i="5"/>
  <c r="L26" i="5"/>
  <c r="M26" i="5"/>
  <c r="N26" i="5"/>
  <c r="L29" i="5"/>
  <c r="M29" i="5"/>
  <c r="N29" i="5"/>
  <c r="K33" i="5"/>
  <c r="L33" i="5"/>
  <c r="M33" i="5"/>
  <c r="N33" i="5"/>
  <c r="K36" i="5"/>
  <c r="L36" i="5"/>
  <c r="M36" i="5"/>
  <c r="N36" i="5"/>
  <c r="K42" i="5"/>
  <c r="L42" i="5"/>
  <c r="M42" i="5"/>
  <c r="N42" i="5"/>
  <c r="K45" i="5"/>
  <c r="L45" i="5"/>
  <c r="M45" i="5"/>
  <c r="N45" i="5"/>
  <c r="K7" i="11"/>
  <c r="L7" i="11"/>
  <c r="M7" i="11"/>
  <c r="N7" i="11"/>
  <c r="K11" i="11"/>
  <c r="L11" i="11"/>
  <c r="M11" i="11"/>
  <c r="N11" i="11"/>
  <c r="K12" i="11"/>
  <c r="L12" i="11"/>
  <c r="M12" i="11"/>
  <c r="N12" i="11"/>
  <c r="K13" i="11"/>
  <c r="L13" i="11"/>
  <c r="M13" i="11"/>
  <c r="N13" i="11"/>
  <c r="K14" i="11"/>
  <c r="L14" i="11"/>
  <c r="M14" i="11"/>
  <c r="N14" i="11"/>
  <c r="K21" i="11"/>
  <c r="L21" i="11"/>
  <c r="M21" i="11"/>
  <c r="N21" i="11"/>
  <c r="O21" i="11"/>
  <c r="P21" i="11"/>
  <c r="K28" i="11"/>
  <c r="L28" i="11"/>
  <c r="M28" i="11"/>
  <c r="N28" i="11"/>
  <c r="K29" i="11"/>
  <c r="L29" i="11"/>
  <c r="M29" i="11"/>
  <c r="N29" i="11"/>
  <c r="K34" i="11"/>
  <c r="L34" i="11"/>
  <c r="M34" i="11"/>
  <c r="N34" i="11"/>
  <c r="K41" i="11"/>
  <c r="L41" i="11"/>
  <c r="M41" i="11"/>
  <c r="N41" i="11"/>
  <c r="K42" i="11"/>
  <c r="L42" i="11"/>
  <c r="M42" i="11"/>
  <c r="N42" i="11"/>
  <c r="K43" i="11"/>
  <c r="L43" i="11"/>
  <c r="M43" i="11"/>
  <c r="N43" i="11"/>
  <c r="K47" i="11"/>
  <c r="L47" i="11"/>
  <c r="M47" i="11"/>
  <c r="N47" i="11"/>
  <c r="K54" i="11"/>
  <c r="L54" i="11"/>
  <c r="M54" i="11"/>
  <c r="N54" i="11"/>
  <c r="K55" i="11"/>
  <c r="L55" i="11"/>
  <c r="M55" i="11"/>
  <c r="N55" i="11"/>
  <c r="K56" i="11"/>
  <c r="L56" i="11"/>
  <c r="M56" i="11"/>
  <c r="N56" i="11"/>
  <c r="K61" i="11"/>
  <c r="L61" i="11"/>
  <c r="M61" i="11"/>
  <c r="N61" i="11"/>
  <c r="K63" i="11"/>
  <c r="L63" i="11"/>
  <c r="M63" i="11"/>
  <c r="N63" i="11"/>
  <c r="K64" i="11"/>
  <c r="L64" i="11"/>
  <c r="M64" i="11"/>
  <c r="N64" i="11"/>
  <c r="K68" i="11"/>
  <c r="L68" i="11"/>
  <c r="M68" i="11"/>
  <c r="N68" i="11"/>
  <c r="K69" i="11"/>
  <c r="L69" i="11"/>
  <c r="M69" i="11"/>
  <c r="N69" i="11"/>
  <c r="K73" i="11"/>
  <c r="L73" i="11"/>
  <c r="M73" i="11"/>
  <c r="N73" i="11"/>
  <c r="K74" i="11"/>
  <c r="L74" i="11"/>
  <c r="M74" i="11"/>
  <c r="N74" i="11"/>
  <c r="K89" i="11"/>
  <c r="L89" i="11"/>
  <c r="M89" i="11"/>
  <c r="N89" i="11"/>
  <c r="K90" i="11"/>
  <c r="L90" i="11"/>
  <c r="M90" i="11"/>
  <c r="N90" i="11"/>
  <c r="K91" i="11"/>
  <c r="L91" i="11"/>
  <c r="M91" i="11"/>
  <c r="N91" i="11"/>
  <c r="K92" i="11"/>
  <c r="L92" i="11"/>
  <c r="M92" i="11"/>
  <c r="N92" i="11"/>
  <c r="K93" i="11"/>
  <c r="L93" i="11"/>
  <c r="M93" i="11"/>
  <c r="N93" i="11"/>
</calcChain>
</file>

<file path=xl/sharedStrings.xml><?xml version="1.0" encoding="utf-8"?>
<sst xmlns="http://schemas.openxmlformats.org/spreadsheetml/2006/main" count="469" uniqueCount="255">
  <si>
    <t>Revenue</t>
  </si>
  <si>
    <t xml:space="preserve">TITAN </t>
  </si>
  <si>
    <t>(All data in Mns)</t>
  </si>
  <si>
    <r>
      <rPr>
        <sz val="11"/>
        <color theme="1"/>
        <rFont val="Calibri"/>
        <family val="2"/>
      </rPr>
      <t xml:space="preserve">(Actuals in </t>
    </r>
    <r>
      <rPr>
        <b/>
        <sz val="11"/>
        <color rgb="FF00B0F0"/>
        <rFont val="Calibri"/>
        <family val="2"/>
      </rPr>
      <t>Blue</t>
    </r>
    <r>
      <rPr>
        <b/>
        <sz val="11"/>
        <color theme="1"/>
        <rFont val="Calibri"/>
        <family val="2"/>
      </rPr>
      <t>,</t>
    </r>
    <r>
      <rPr>
        <sz val="11"/>
        <color theme="1"/>
        <rFont val="Calibri"/>
        <family val="2"/>
      </rPr>
      <t xml:space="preserve">Calculations in </t>
    </r>
    <r>
      <rPr>
        <b/>
        <sz val="11"/>
        <color theme="1"/>
        <rFont val="Calibri"/>
        <family val="2"/>
      </rPr>
      <t>Black,</t>
    </r>
    <r>
      <rPr>
        <sz val="11"/>
        <color theme="1"/>
        <rFont val="Calibri"/>
        <family val="2"/>
      </rPr>
      <t xml:space="preserve">Assumptions in </t>
    </r>
    <r>
      <rPr>
        <b/>
        <sz val="11"/>
        <color rgb="FFFF0000"/>
        <rFont val="Calibri"/>
        <family val="2"/>
      </rPr>
      <t>Red</t>
    </r>
    <r>
      <rPr>
        <b/>
        <sz val="11"/>
        <color theme="1"/>
        <rFont val="Calibri"/>
        <family val="2"/>
      </rPr>
      <t>)</t>
    </r>
  </si>
  <si>
    <t>Date</t>
  </si>
  <si>
    <t>31/3/2017</t>
  </si>
  <si>
    <t>31/3/2018</t>
  </si>
  <si>
    <t>31/3/2019</t>
  </si>
  <si>
    <t>31/3/2020</t>
  </si>
  <si>
    <t>31/3/2021</t>
  </si>
  <si>
    <t>31/3/2022</t>
  </si>
  <si>
    <t>31/3/2023</t>
  </si>
  <si>
    <t>Year</t>
  </si>
  <si>
    <t>2017-A</t>
  </si>
  <si>
    <t>2018-A</t>
  </si>
  <si>
    <t>2019-A</t>
  </si>
  <si>
    <t>2020-A</t>
  </si>
  <si>
    <t>2021-A</t>
  </si>
  <si>
    <t>2022-A</t>
  </si>
  <si>
    <t>2023-E</t>
  </si>
  <si>
    <t>2024-E</t>
  </si>
  <si>
    <t>2025-E</t>
  </si>
  <si>
    <t>2026-E</t>
  </si>
  <si>
    <t>2027-E</t>
  </si>
  <si>
    <t xml:space="preserve">Pull Data </t>
  </si>
  <si>
    <t>P&amp;L</t>
  </si>
  <si>
    <t>Balance Sheet</t>
  </si>
  <si>
    <t>Cash folw Statement</t>
  </si>
  <si>
    <t>COGS</t>
  </si>
  <si>
    <t>EBITDA</t>
  </si>
  <si>
    <t>EBIT</t>
  </si>
  <si>
    <t>EBT</t>
  </si>
  <si>
    <t>PAT</t>
  </si>
  <si>
    <t>Revenue from Operations</t>
  </si>
  <si>
    <t>Other income</t>
  </si>
  <si>
    <t>Total Revenue</t>
  </si>
  <si>
    <t xml:space="preserve">Employee benefit expense </t>
  </si>
  <si>
    <t>Cost of materials and components consumed</t>
  </si>
  <si>
    <t>Total COGS</t>
  </si>
  <si>
    <t>Gross margin (%)</t>
  </si>
  <si>
    <t>Other Opereating expenses</t>
  </si>
  <si>
    <t>Purchase of stock in trade</t>
  </si>
  <si>
    <t>Excise duty</t>
  </si>
  <si>
    <t>changes in inventories of finished goods,stock and WIP</t>
  </si>
  <si>
    <t>other expenses</t>
  </si>
  <si>
    <t>Total other Operating expenses</t>
  </si>
  <si>
    <t>EBITDA Margin(%)</t>
  </si>
  <si>
    <t>Depreciation and Amortisation expenses</t>
  </si>
  <si>
    <t>Share of profit/loss:</t>
  </si>
  <si>
    <t>associate</t>
  </si>
  <si>
    <t>JV</t>
  </si>
  <si>
    <t>Finance Expenses</t>
  </si>
  <si>
    <t>PBT Margin(%)</t>
  </si>
  <si>
    <t>Exceptional items</t>
  </si>
  <si>
    <t>PBT</t>
  </si>
  <si>
    <t>Tax Expense</t>
  </si>
  <si>
    <t>EPS</t>
  </si>
  <si>
    <t>Basic</t>
  </si>
  <si>
    <t>Diluted</t>
  </si>
  <si>
    <t>No of Shares</t>
  </si>
  <si>
    <t>Balance sheet:</t>
  </si>
  <si>
    <t>Non current assets:</t>
  </si>
  <si>
    <t>Assets</t>
  </si>
  <si>
    <t>Property,plant and equipment</t>
  </si>
  <si>
    <t>capital WIP</t>
  </si>
  <si>
    <t>Right of use assets</t>
  </si>
  <si>
    <t>Investment Property</t>
  </si>
  <si>
    <t>Goodwill</t>
  </si>
  <si>
    <t>other intangible assets</t>
  </si>
  <si>
    <t>intangible assets under develoipment</t>
  </si>
  <si>
    <t>Financial assets:</t>
  </si>
  <si>
    <t>Investments</t>
  </si>
  <si>
    <t>loans receivable</t>
  </si>
  <si>
    <t>other financial assets</t>
  </si>
  <si>
    <t>Deferred tax assets(net)</t>
  </si>
  <si>
    <t>income tax assets (net)</t>
  </si>
  <si>
    <t>other non current assets</t>
  </si>
  <si>
    <t>Current Assets</t>
  </si>
  <si>
    <t>Inventories</t>
  </si>
  <si>
    <t>Trade Receivables</t>
  </si>
  <si>
    <t>Cash and cash equivalents</t>
  </si>
  <si>
    <t>Bank balance other than above</t>
  </si>
  <si>
    <t>Assets held for sale</t>
  </si>
  <si>
    <t>othe current assets</t>
  </si>
  <si>
    <t>TOTAL ASSETS</t>
  </si>
  <si>
    <t>EQUITY AND LIABILITIES</t>
  </si>
  <si>
    <t>EQUITY</t>
  </si>
  <si>
    <t>Equity share capital</t>
  </si>
  <si>
    <t>Other equity</t>
  </si>
  <si>
    <t>Non controlling interest</t>
  </si>
  <si>
    <t>TOTAL EQUITY</t>
  </si>
  <si>
    <t>Liabilities</t>
  </si>
  <si>
    <t>(1)Non-current liabilities</t>
  </si>
  <si>
    <t>(a)Financial liabilities</t>
  </si>
  <si>
    <t>1)Borrowings</t>
  </si>
  <si>
    <t>2)lease liabilities</t>
  </si>
  <si>
    <t>3)other financial liabilities</t>
  </si>
  <si>
    <t>(b)Provisions</t>
  </si>
  <si>
    <t>©Deferred tax liability(net)</t>
  </si>
  <si>
    <t>other non current liabilities</t>
  </si>
  <si>
    <t>(2) Current Liabilities</t>
  </si>
  <si>
    <t>Borrowings</t>
  </si>
  <si>
    <t>Gold on loan</t>
  </si>
  <si>
    <t>Lease liabilities</t>
  </si>
  <si>
    <t>Trade Payables</t>
  </si>
  <si>
    <t xml:space="preserve">  - total o/s dues of micro and small enterprises</t>
  </si>
  <si>
    <t xml:space="preserve"> - total o/s dues of creditors other than micro and small enterprises</t>
  </si>
  <si>
    <t>other financial liabilities</t>
  </si>
  <si>
    <t>Other current liabilities</t>
  </si>
  <si>
    <t>Provisions</t>
  </si>
  <si>
    <t>Current tax liabilities(net)</t>
  </si>
  <si>
    <t>TOTAL EQUITY AND LIABILITIES</t>
  </si>
  <si>
    <t>Check</t>
  </si>
  <si>
    <t>A.Cash flow from operating activities</t>
  </si>
  <si>
    <t>Net Profit before tax</t>
  </si>
  <si>
    <t>Adjustments for:</t>
  </si>
  <si>
    <t>Depreciation and amortisation expenses</t>
  </si>
  <si>
    <t>net unrealised exchange (gain)/loss</t>
  </si>
  <si>
    <t>share of profit/(loss) of the associate and JV</t>
  </si>
  <si>
    <t>Employee stock compensation expense</t>
  </si>
  <si>
    <t>loss on sale/disposal/scrapping of PPE(net)</t>
  </si>
  <si>
    <t>Provision for doubtful tarde receivabkes(net)and bad trade receivables written off</t>
  </si>
  <si>
    <t>Provision for asset write off of a subsidiary</t>
  </si>
  <si>
    <t>Interest Income</t>
  </si>
  <si>
    <t>Gain on investment carried at fair value through profit and loss</t>
  </si>
  <si>
    <t>Impairment of invst in inter corporate deposits</t>
  </si>
  <si>
    <t>Gain on investment in joint venture</t>
  </si>
  <si>
    <t>Gain on pre-closure of lease contracts</t>
  </si>
  <si>
    <t>Rent waiver</t>
  </si>
  <si>
    <t>finance costs</t>
  </si>
  <si>
    <t>Operating profit before working changes</t>
  </si>
  <si>
    <t>(inc)/dec in trade receivables</t>
  </si>
  <si>
    <t>(inc)/dec in inventories</t>
  </si>
  <si>
    <t>(inc)/dec in financial assets-loans receivable</t>
  </si>
  <si>
    <t>(inc)/dec in other financial assets</t>
  </si>
  <si>
    <t>(inc)/dec in other assets</t>
  </si>
  <si>
    <t>(inc)/dec in other current financial assets</t>
  </si>
  <si>
    <t>(inc)/dec in other current assets</t>
  </si>
  <si>
    <t>(inc)/dec in other bank balances</t>
  </si>
  <si>
    <t>inc/(dec) in gold on loan</t>
  </si>
  <si>
    <t>inc/(dec) in trade payables</t>
  </si>
  <si>
    <t>inc/(dec) in other financial liabilities</t>
  </si>
  <si>
    <t>inc/(dec) in other liabilities</t>
  </si>
  <si>
    <t>inc/(dec) in provisions</t>
  </si>
  <si>
    <t>Cash generated from operating activities before taxes</t>
  </si>
  <si>
    <t>Direct taxes paid,net</t>
  </si>
  <si>
    <t>Net cash (used in)/generated from operating activities   A</t>
  </si>
  <si>
    <t>B.Cash flow from Investing activities</t>
  </si>
  <si>
    <t>Purchase of Property,plant and equipment,intangible assets and investment Property</t>
  </si>
  <si>
    <t>Proceeds from sale of PP&amp;E</t>
  </si>
  <si>
    <t>Investment in non convertible debenture</t>
  </si>
  <si>
    <t>Inter-corporate deposits placed</t>
  </si>
  <si>
    <t xml:space="preserve">Proceeds from inter -corporate deposits </t>
  </si>
  <si>
    <t>Bank deposits(placed)/matured,net</t>
  </si>
  <si>
    <t>Proceeds from sale of investments in JV</t>
  </si>
  <si>
    <t>Purchase of  investments in other equity instruments</t>
  </si>
  <si>
    <t>sale/(purchase) of mutual funds,net</t>
  </si>
  <si>
    <t>Loan given to Groups franchisees and Vendors</t>
  </si>
  <si>
    <t>Proceeds from loan given to groups franchisees and vendors</t>
  </si>
  <si>
    <t>Proceeds from sale of invsts in subsidiaries net of related expenses and cash</t>
  </si>
  <si>
    <t>Lease payments received from sub-lease (excl.interest received)</t>
  </si>
  <si>
    <t>Interest received</t>
  </si>
  <si>
    <t>Net cash outflow on acquisition of subsidiary</t>
  </si>
  <si>
    <t>Net cash generated from/(used in) Investing activities   B</t>
  </si>
  <si>
    <t>C.Cash flow from Financing Activities</t>
  </si>
  <si>
    <t>Repayment from long term borrowings,net</t>
  </si>
  <si>
    <t>proceeds/(repayments) from borrowings,net</t>
  </si>
  <si>
    <t>Dividends paid including dividend distribution tax</t>
  </si>
  <si>
    <t xml:space="preserve">Payment of lease liabilities excluding interest paid </t>
  </si>
  <si>
    <t>Finance costs paid</t>
  </si>
  <si>
    <t>Net cash used in financing activities                                    C</t>
  </si>
  <si>
    <t>Net increase in cash and cash equivalents during the year(A+B+C)</t>
  </si>
  <si>
    <t>Cash and cash equivalents (opening balance)</t>
  </si>
  <si>
    <t>add: cash and cash equi acquired on amalgamation</t>
  </si>
  <si>
    <t>add: Unrealised exchange gain</t>
  </si>
  <si>
    <t>Cash and cash equivalents (closing balance)</t>
  </si>
  <si>
    <t>Check sum</t>
  </si>
  <si>
    <t>Revenue from operations</t>
  </si>
  <si>
    <t>Revenue Mix</t>
  </si>
  <si>
    <t>Jewellery</t>
  </si>
  <si>
    <t>Watches</t>
  </si>
  <si>
    <t>Eye care</t>
  </si>
  <si>
    <t>other business/Corporate</t>
  </si>
  <si>
    <t>Stores by category</t>
  </si>
  <si>
    <t>R= P*Q</t>
  </si>
  <si>
    <t>Tanishq</t>
  </si>
  <si>
    <t>Zoya</t>
  </si>
  <si>
    <t>Caratlane</t>
  </si>
  <si>
    <t>Mia</t>
  </si>
  <si>
    <t>WOT</t>
  </si>
  <si>
    <t>Fastrack</t>
  </si>
  <si>
    <t>Helios</t>
  </si>
  <si>
    <t>Titan Eye Plus</t>
  </si>
  <si>
    <t>Taneira</t>
  </si>
  <si>
    <t>Eraning Presentation_Pg45_Q420</t>
  </si>
  <si>
    <t>Store Addition</t>
  </si>
  <si>
    <t>Total</t>
  </si>
  <si>
    <t>Total Sq. Feet Brand Wise</t>
  </si>
  <si>
    <t>Eraning Presentation_Pg34_Q420</t>
  </si>
  <si>
    <t>Total Sq Feet Segment Wise</t>
  </si>
  <si>
    <t>Revenuer Per Sq feet Segment</t>
  </si>
  <si>
    <t>Revenue*Revenu Mix/Total Sq Feet Segment Wise</t>
  </si>
  <si>
    <t>Revenue Per Sq feet Growth Rate</t>
  </si>
  <si>
    <t>Average Shop Size</t>
  </si>
  <si>
    <t>Quantity</t>
  </si>
  <si>
    <t>Price</t>
  </si>
  <si>
    <t>Day 2</t>
  </si>
  <si>
    <t>(Actuals in Blue,Calculations in Black,Assumptions in Red)</t>
  </si>
  <si>
    <r>
      <t xml:space="preserve">(Actuals in </t>
    </r>
    <r>
      <rPr>
        <b/>
        <sz val="11"/>
        <color theme="4" tint="0.39997558519241921"/>
        <rFont val="Calibri"/>
        <family val="2"/>
        <scheme val="minor"/>
      </rPr>
      <t>Blue</t>
    </r>
    <r>
      <rPr>
        <sz val="11"/>
        <color theme="1"/>
        <rFont val="Calibri"/>
        <family val="2"/>
        <scheme val="minor"/>
      </rPr>
      <t xml:space="preserve">,Calculations in </t>
    </r>
    <r>
      <rPr>
        <b/>
        <sz val="11"/>
        <color theme="1"/>
        <rFont val="Calibri"/>
        <family val="2"/>
        <scheme val="minor"/>
      </rPr>
      <t>Black</t>
    </r>
    <r>
      <rPr>
        <sz val="11"/>
        <color theme="1"/>
        <rFont val="Calibri"/>
        <family val="2"/>
        <scheme val="minor"/>
      </rPr>
      <t xml:space="preserve">,Assumptions in </t>
    </r>
    <r>
      <rPr>
        <b/>
        <sz val="11"/>
        <color rgb="FFFF0000"/>
        <rFont val="Calibri"/>
        <family val="2"/>
        <scheme val="minor"/>
      </rPr>
      <t>Red</t>
    </r>
    <r>
      <rPr>
        <sz val="11"/>
        <color theme="1"/>
        <rFont val="Calibri"/>
        <family val="2"/>
        <scheme val="minor"/>
      </rPr>
      <t>)</t>
    </r>
  </si>
  <si>
    <t>AS a % of Revenue</t>
  </si>
  <si>
    <t>(Effective Tax rate%)</t>
  </si>
  <si>
    <t>Capex</t>
  </si>
  <si>
    <t>Acc Dep</t>
  </si>
  <si>
    <t>Gross PP&amp;E</t>
  </si>
  <si>
    <t>Dispobal</t>
  </si>
  <si>
    <t>Net</t>
  </si>
  <si>
    <t>Capex as a % of sales</t>
  </si>
  <si>
    <t>Depriciation</t>
  </si>
  <si>
    <t>Depriciation % of opening Block</t>
  </si>
  <si>
    <t>Balance Sheet Ratio</t>
  </si>
  <si>
    <t>DSO</t>
  </si>
  <si>
    <t>Payable Days</t>
  </si>
  <si>
    <t>Inventory Days</t>
  </si>
  <si>
    <t>Receivable Turnover Ratio</t>
  </si>
  <si>
    <t>Inventory Turnover Ratio</t>
  </si>
  <si>
    <t>Payable Turnover Rario</t>
  </si>
  <si>
    <t>Mentioned in Annual Report</t>
  </si>
  <si>
    <t>Gold on Loan</t>
  </si>
  <si>
    <t>Interest</t>
  </si>
  <si>
    <t>Interest Amount</t>
  </si>
  <si>
    <t>Gold as % of Inventory</t>
  </si>
  <si>
    <t>Capital Structure</t>
  </si>
  <si>
    <t>Equity</t>
  </si>
  <si>
    <t>Debt</t>
  </si>
  <si>
    <t>Tax Rate</t>
  </si>
  <si>
    <t>Cost of capital</t>
  </si>
  <si>
    <t>Rf</t>
  </si>
  <si>
    <t>Rm</t>
  </si>
  <si>
    <t>Beta</t>
  </si>
  <si>
    <t>Cost of Equity</t>
  </si>
  <si>
    <t xml:space="preserve">TV </t>
  </si>
  <si>
    <t>Calculation of FCFE</t>
  </si>
  <si>
    <t>Dep</t>
  </si>
  <si>
    <t>Change in WC</t>
  </si>
  <si>
    <t>Deb Raised &amp; repaid</t>
  </si>
  <si>
    <t>FCFE</t>
  </si>
  <si>
    <t>TV=cf*(1+g)/(r-g)</t>
  </si>
  <si>
    <t>Tv</t>
  </si>
  <si>
    <t>PV</t>
  </si>
  <si>
    <t>Equity Value</t>
  </si>
  <si>
    <t>No.of share</t>
  </si>
  <si>
    <t>Intrensic Value</t>
  </si>
  <si>
    <t>Current Price</t>
  </si>
  <si>
    <t>Our Value</t>
  </si>
  <si>
    <t>Market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</si>
</sst>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 * #,##0.00_ ;_ * \-#,##0.00_ ;_ * &quot;-&quot;??_ ;_ @_ "/>
    <numFmt numFmtId="166" formatCode="0.0"/>
    <numFmt numFmtId="173" formatCode="0.0%"/>
    <numFmt numFmtId="183" formatCode="_ * #,##0_ ;_ * \-#,##0_ ;_ * &quot;-&quot;??_ ;_ @_ "/>
  </numFmts>
  <fonts count="24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color theme="1"/>
      <name val="Calibri"/>
      <family val="2"/>
    </font>
    <font>
      <sz val="11"/>
      <color theme="1"/>
      <name val="Calibri"/>
      <family val="2"/>
      <scheme val="minor"/>
    </font>
    <font>
      <b/>
      <sz val="18"/>
      <color rgb="FF92CDDC"/>
      <name val="Calibri"/>
      <family val="2"/>
    </font>
    <font>
      <sz val="11"/>
      <color rgb="FF92CDDC"/>
      <name val="Calibri"/>
      <family val="2"/>
    </font>
    <font>
      <sz val="11"/>
      <color theme="1"/>
      <name val="Calibri"/>
      <family val="2"/>
    </font>
    <font>
      <b/>
      <sz val="11"/>
      <color rgb="FF00B0F0"/>
      <name val="Calibri"/>
      <family val="2"/>
    </font>
    <font>
      <b/>
      <sz val="11"/>
      <color theme="1"/>
      <name val="Calibri"/>
      <family val="2"/>
    </font>
    <font>
      <b/>
      <sz val="11"/>
      <color rgb="FFFF0000"/>
      <name val="Calibri"/>
      <family val="2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0070C0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color theme="4"/>
      <name val="Calibri"/>
      <family val="2"/>
      <scheme val="minor"/>
    </font>
    <font>
      <sz val="16"/>
      <color rgb="FF92CDDC"/>
      <name val="Calibri"/>
      <family val="2"/>
    </font>
    <font>
      <b/>
      <u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FF0000"/>
      <name val="Calibri"/>
      <family val="2"/>
    </font>
    <font>
      <b/>
      <sz val="11"/>
      <color theme="4" tint="0.3999755851924192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2"/>
      <color theme="4" tint="-0.249977111117893"/>
      <name val="Calibri"/>
      <family val="2"/>
      <scheme val="minor"/>
    </font>
    <font>
      <sz val="11"/>
      <color theme="4" tint="-0.249977111117893"/>
      <name val="Calibri"/>
      <family val="2"/>
      <scheme val="minor"/>
    </font>
    <font>
      <b/>
      <sz val="11"/>
      <color rgb="FF92CDDC"/>
      <name val="Calibri"/>
      <family val="2"/>
    </font>
  </fonts>
  <fills count="10">
    <fill>
      <patternFill patternType="none"/>
    </fill>
    <fill>
      <patternFill patternType="gray125"/>
    </fill>
    <fill>
      <patternFill patternType="solid">
        <fgColor rgb="FF76923C"/>
        <bgColor rgb="FF76923C"/>
      </patternFill>
    </fill>
    <fill>
      <patternFill patternType="solid">
        <fgColor theme="5"/>
        <bgColor rgb="FF76923C"/>
      </patternFill>
    </fill>
    <fill>
      <patternFill patternType="solid">
        <fgColor rgb="FFC6D9F0"/>
        <bgColor rgb="FFC6D9F0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rgb="FFC6D9F0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</fills>
  <borders count="8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/>
      <right/>
      <top/>
      <bottom style="thin">
        <color indexed="64"/>
      </bottom>
      <diagonal/>
    </border>
  </borders>
  <cellStyleXfs count="5">
    <xf numFmtId="0" fontId="0" fillId="0" borderId="0"/>
    <xf numFmtId="0" fontId="3" fillId="0" borderId="0"/>
    <xf numFmtId="9" fontId="11" fillId="0" borderId="0" applyFont="0" applyFill="0" applyBorder="0" applyAlignment="0" applyProtection="0"/>
    <xf numFmtId="43" fontId="11" fillId="0" borderId="0" applyFont="0" applyFill="0" applyBorder="0" applyAlignment="0" applyProtection="0"/>
    <xf numFmtId="0" fontId="20" fillId="0" borderId="0" applyNumberFormat="0" applyFill="0" applyBorder="0" applyAlignment="0" applyProtection="0"/>
  </cellStyleXfs>
  <cellXfs count="82">
    <xf numFmtId="0" fontId="0" fillId="0" borderId="0" xfId="0"/>
    <xf numFmtId="0" fontId="4" fillId="2" borderId="0" xfId="1" applyFont="1" applyFill="1"/>
    <xf numFmtId="0" fontId="5" fillId="2" borderId="0" xfId="1" applyFont="1" applyFill="1"/>
    <xf numFmtId="0" fontId="5" fillId="3" borderId="0" xfId="1" applyFont="1" applyFill="1"/>
    <xf numFmtId="0" fontId="3" fillId="0" borderId="0" xfId="1"/>
    <xf numFmtId="0" fontId="8" fillId="0" borderId="0" xfId="1" applyFont="1"/>
    <xf numFmtId="0" fontId="8" fillId="4" borderId="0" xfId="1" applyFont="1" applyFill="1"/>
    <xf numFmtId="14" fontId="8" fillId="4" borderId="0" xfId="1" applyNumberFormat="1" applyFont="1" applyFill="1"/>
    <xf numFmtId="0" fontId="6" fillId="4" borderId="0" xfId="1" applyFont="1" applyFill="1"/>
    <xf numFmtId="0" fontId="10" fillId="0" borderId="0" xfId="1" applyFont="1"/>
    <xf numFmtId="0" fontId="10" fillId="0" borderId="0" xfId="0" applyFont="1"/>
    <xf numFmtId="1" fontId="12" fillId="0" borderId="0" xfId="0" applyNumberFormat="1" applyFont="1"/>
    <xf numFmtId="0" fontId="10" fillId="0" borderId="1" xfId="0" applyFont="1" applyBorder="1"/>
    <xf numFmtId="1" fontId="10" fillId="0" borderId="1" xfId="0" applyNumberFormat="1" applyFont="1" applyBorder="1"/>
    <xf numFmtId="9" fontId="12" fillId="0" borderId="0" xfId="2" applyFont="1"/>
    <xf numFmtId="1" fontId="0" fillId="0" borderId="0" xfId="0" applyNumberFormat="1"/>
    <xf numFmtId="0" fontId="12" fillId="0" borderId="0" xfId="0" applyFont="1"/>
    <xf numFmtId="0" fontId="0" fillId="0" borderId="1" xfId="0" applyBorder="1"/>
    <xf numFmtId="9" fontId="13" fillId="0" borderId="0" xfId="2" applyFont="1"/>
    <xf numFmtId="0" fontId="0" fillId="0" borderId="0" xfId="0" applyAlignment="1">
      <alignment wrapText="1"/>
    </xf>
    <xf numFmtId="1" fontId="12" fillId="0" borderId="0" xfId="2" applyNumberFormat="1" applyFont="1" applyFill="1" applyBorder="1"/>
    <xf numFmtId="1" fontId="12" fillId="0" borderId="0" xfId="2" applyNumberFormat="1" applyFont="1" applyBorder="1"/>
    <xf numFmtId="9" fontId="12" fillId="0" borderId="0" xfId="2" applyFont="1" applyFill="1" applyBorder="1"/>
    <xf numFmtId="2" fontId="12" fillId="0" borderId="0" xfId="0" applyNumberFormat="1" applyFont="1"/>
    <xf numFmtId="1" fontId="10" fillId="0" borderId="0" xfId="0" applyNumberFormat="1" applyFont="1"/>
    <xf numFmtId="0" fontId="3" fillId="5" borderId="0" xfId="1" applyFill="1"/>
    <xf numFmtId="1" fontId="3" fillId="5" borderId="0" xfId="1" applyNumberFormat="1" applyFill="1"/>
    <xf numFmtId="0" fontId="10" fillId="0" borderId="0" xfId="0" applyFont="1" applyAlignment="1">
      <alignment wrapText="1"/>
    </xf>
    <xf numFmtId="1" fontId="0" fillId="0" borderId="1" xfId="0" applyNumberFormat="1" applyBorder="1"/>
    <xf numFmtId="1" fontId="3" fillId="0" borderId="0" xfId="1" applyNumberFormat="1"/>
    <xf numFmtId="9" fontId="14" fillId="0" borderId="0" xfId="1" applyNumberFormat="1" applyFont="1"/>
    <xf numFmtId="0" fontId="15" fillId="2" borderId="0" xfId="1" applyFont="1" applyFill="1"/>
    <xf numFmtId="0" fontId="12" fillId="7" borderId="0" xfId="0" applyFont="1" applyFill="1"/>
    <xf numFmtId="0" fontId="16" fillId="0" borderId="0" xfId="0" applyFont="1"/>
    <xf numFmtId="9" fontId="3" fillId="0" borderId="0" xfId="2" applyFont="1"/>
    <xf numFmtId="0" fontId="16" fillId="0" borderId="0" xfId="1" applyFont="1"/>
    <xf numFmtId="0" fontId="17" fillId="0" borderId="0" xfId="1" applyFont="1"/>
    <xf numFmtId="1" fontId="6" fillId="4" borderId="0" xfId="1" applyNumberFormat="1" applyFont="1" applyFill="1"/>
    <xf numFmtId="1" fontId="6" fillId="6" borderId="0" xfId="1" applyNumberFormat="1" applyFont="1" applyFill="1"/>
    <xf numFmtId="9" fontId="18" fillId="4" borderId="0" xfId="2" applyFont="1" applyFill="1"/>
    <xf numFmtId="0" fontId="18" fillId="4" borderId="0" xfId="1" applyFont="1" applyFill="1"/>
    <xf numFmtId="1" fontId="18" fillId="4" borderId="0" xfId="1" applyNumberFormat="1" applyFont="1" applyFill="1"/>
    <xf numFmtId="9" fontId="18" fillId="4" borderId="0" xfId="1" applyNumberFormat="1" applyFont="1" applyFill="1"/>
    <xf numFmtId="1" fontId="8" fillId="4" borderId="0" xfId="1" applyNumberFormat="1" applyFont="1" applyFill="1"/>
    <xf numFmtId="1" fontId="10" fillId="0" borderId="0" xfId="1" applyNumberFormat="1" applyFont="1"/>
    <xf numFmtId="1" fontId="2" fillId="4" borderId="0" xfId="1" applyNumberFormat="1" applyFont="1" applyFill="1"/>
    <xf numFmtId="0" fontId="5" fillId="2" borderId="2" xfId="1" applyFont="1" applyFill="1" applyBorder="1"/>
    <xf numFmtId="0" fontId="3" fillId="0" borderId="0" xfId="1" applyBorder="1"/>
    <xf numFmtId="0" fontId="5" fillId="2" borderId="3" xfId="1" applyFont="1" applyFill="1" applyBorder="1"/>
    <xf numFmtId="0" fontId="3" fillId="0" borderId="4" xfId="1" applyBorder="1"/>
    <xf numFmtId="0" fontId="8" fillId="0" borderId="5" xfId="1" applyFont="1" applyBorder="1"/>
    <xf numFmtId="0" fontId="3" fillId="0" borderId="6" xfId="1" applyBorder="1"/>
    <xf numFmtId="0" fontId="3" fillId="0" borderId="5" xfId="1" applyBorder="1"/>
    <xf numFmtId="0" fontId="8" fillId="4" borderId="5" xfId="1" applyFont="1" applyFill="1" applyBorder="1"/>
    <xf numFmtId="0" fontId="8" fillId="0" borderId="0" xfId="1" applyFont="1" applyBorder="1"/>
    <xf numFmtId="0" fontId="8" fillId="4" borderId="0" xfId="1" applyFont="1" applyFill="1" applyBorder="1"/>
    <xf numFmtId="9" fontId="6" fillId="4" borderId="0" xfId="1" applyNumberFormat="1" applyFont="1" applyFill="1"/>
    <xf numFmtId="1" fontId="8" fillId="4" borderId="0" xfId="1" applyNumberFormat="1" applyFont="1" applyFill="1" applyBorder="1"/>
    <xf numFmtId="0" fontId="5" fillId="2" borderId="4" xfId="1" applyFont="1" applyFill="1" applyBorder="1"/>
    <xf numFmtId="3" fontId="21" fillId="0" borderId="0" xfId="0" applyNumberFormat="1" applyFont="1"/>
    <xf numFmtId="0" fontId="21" fillId="0" borderId="0" xfId="0" applyFont="1"/>
    <xf numFmtId="0" fontId="22" fillId="0" borderId="0" xfId="1" applyFont="1"/>
    <xf numFmtId="0" fontId="10" fillId="0" borderId="2" xfId="1" applyFont="1" applyBorder="1"/>
    <xf numFmtId="0" fontId="0" fillId="0" borderId="0" xfId="4" applyFont="1"/>
    <xf numFmtId="4" fontId="10" fillId="0" borderId="2" xfId="1" applyNumberFormat="1" applyFont="1" applyBorder="1"/>
    <xf numFmtId="3" fontId="10" fillId="0" borderId="2" xfId="1" applyNumberFormat="1" applyFont="1" applyBorder="1"/>
    <xf numFmtId="173" fontId="3" fillId="0" borderId="0" xfId="2" applyNumberFormat="1" applyFont="1"/>
    <xf numFmtId="173" fontId="6" fillId="4" borderId="0" xfId="1" applyNumberFormat="1" applyFont="1" applyFill="1"/>
    <xf numFmtId="3" fontId="6" fillId="4" borderId="0" xfId="1" applyNumberFormat="1" applyFont="1" applyFill="1"/>
    <xf numFmtId="0" fontId="0" fillId="8" borderId="0" xfId="0" applyFill="1"/>
    <xf numFmtId="9" fontId="6" fillId="4" borderId="0" xfId="2" applyFont="1" applyFill="1"/>
    <xf numFmtId="1" fontId="1" fillId="4" borderId="0" xfId="1" applyNumberFormat="1" applyFont="1" applyFill="1"/>
    <xf numFmtId="1" fontId="8" fillId="4" borderId="1" xfId="1" applyNumberFormat="1" applyFont="1" applyFill="1" applyBorder="1"/>
    <xf numFmtId="166" fontId="3" fillId="0" borderId="0" xfId="1" applyNumberFormat="1"/>
    <xf numFmtId="183" fontId="6" fillId="4" borderId="0" xfId="3" applyNumberFormat="1" applyFont="1" applyFill="1"/>
    <xf numFmtId="0" fontId="23" fillId="2" borderId="0" xfId="1" applyFont="1" applyFill="1"/>
    <xf numFmtId="0" fontId="3" fillId="0" borderId="7" xfId="1" applyBorder="1"/>
    <xf numFmtId="0" fontId="3" fillId="0" borderId="0" xfId="1" applyAlignment="1">
      <alignment horizontal="center"/>
    </xf>
    <xf numFmtId="9" fontId="3" fillId="0" borderId="0" xfId="1" applyNumberFormat="1"/>
    <xf numFmtId="0" fontId="11" fillId="0" borderId="7" xfId="4" applyFont="1" applyBorder="1"/>
    <xf numFmtId="1" fontId="3" fillId="9" borderId="0" xfId="1" applyNumberFormat="1" applyFill="1"/>
    <xf numFmtId="9" fontId="10" fillId="0" borderId="0" xfId="2" applyFont="1"/>
  </cellXfs>
  <cellStyles count="5">
    <cellStyle name="Comma" xfId="3" builtinId="3"/>
    <cellStyle name="Hyperlink" xfId="4" builtinId="8"/>
    <cellStyle name="Normal" xfId="0" builtinId="0"/>
    <cellStyle name="Normal 2" xfId="1" xr:uid="{DBEC8C3D-6ED4-C746-9E3D-EB38CA9650EE}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2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393700</xdr:colOff>
      <xdr:row>0</xdr:row>
      <xdr:rowOff>139700</xdr:rowOff>
    </xdr:from>
    <xdr:to>
      <xdr:col>11</xdr:col>
      <xdr:colOff>660400</xdr:colOff>
      <xdr:row>23</xdr:row>
      <xdr:rowOff>173403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FFD45BE-C7BC-A840-A2CA-296AAF8E3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700" y="139700"/>
          <a:ext cx="9347200" cy="47073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20324</xdr:rowOff>
    </xdr:from>
    <xdr:to>
      <xdr:col>11</xdr:col>
      <xdr:colOff>723900</xdr:colOff>
      <xdr:row>49</xdr:row>
      <xdr:rowOff>184559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73B57F9-2FA4-8841-846E-C23318842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506724"/>
          <a:ext cx="9804400" cy="46346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152400</xdr:rowOff>
    </xdr:from>
    <xdr:to>
      <xdr:col>12</xdr:col>
      <xdr:colOff>768278</xdr:colOff>
      <xdr:row>76</xdr:row>
      <xdr:rowOff>133760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6193B8A-EB1A-E947-BE1E-68FB16EBB2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515600"/>
          <a:ext cx="10674278" cy="506136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78</xdr:row>
      <xdr:rowOff>50799</xdr:rowOff>
    </xdr:from>
    <xdr:to>
      <xdr:col>12</xdr:col>
      <xdr:colOff>220442</xdr:colOff>
      <xdr:row>97</xdr:row>
      <xdr:rowOff>141274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D074D7-ABBF-2E44-8929-A357102BF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" y="15900399"/>
          <a:ext cx="10050242" cy="39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99</xdr:row>
      <xdr:rowOff>12699</xdr:rowOff>
    </xdr:from>
    <xdr:to>
      <xdr:col>12</xdr:col>
      <xdr:colOff>182342</xdr:colOff>
      <xdr:row>118</xdr:row>
      <xdr:rowOff>103174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F667D32-B154-AB44-9E30-9D02CE92E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" y="20129499"/>
          <a:ext cx="10050242" cy="39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50800</xdr:colOff>
      <xdr:row>120</xdr:row>
      <xdr:rowOff>12699</xdr:rowOff>
    </xdr:from>
    <xdr:to>
      <xdr:col>12</xdr:col>
      <xdr:colOff>195042</xdr:colOff>
      <xdr:row>139</xdr:row>
      <xdr:rowOff>103174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B557727-B95F-C047-8513-673B28938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800" y="24396699"/>
          <a:ext cx="10050242" cy="3951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88900</xdr:rowOff>
    </xdr:from>
    <xdr:to>
      <xdr:col>12</xdr:col>
      <xdr:colOff>144242</xdr:colOff>
      <xdr:row>165</xdr:row>
      <xdr:rowOff>88900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89A9A9F-6458-904D-B239-1D8BA2037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8740100"/>
          <a:ext cx="10050242" cy="487680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166</xdr:row>
      <xdr:rowOff>177800</xdr:rowOff>
    </xdr:from>
    <xdr:to>
      <xdr:col>12</xdr:col>
      <xdr:colOff>207742</xdr:colOff>
      <xdr:row>190</xdr:row>
      <xdr:rowOff>177800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865367F-1C25-944D-8F5A-60634FF2E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3500" y="33909000"/>
          <a:ext cx="10050242" cy="4876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12</xdr:col>
      <xdr:colOff>144242</xdr:colOff>
      <xdr:row>216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EC29CB4-2615-0E47-94A0-86B0CC4AD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9014400"/>
          <a:ext cx="10050242" cy="48768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anishasingh/Desktop/MentorMe/Equity%20Valuation/Valuation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anishasingh/Desktop/MentorMe/Equity%20Valuation/9-+DCF+Titan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asics"/>
    </sheetNames>
    <sheetDataSet>
      <sheetData sheetId="0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st drivers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5B6646-8534-D440-8C94-A136235C0A6B}">
  <dimension ref="P157:P160"/>
  <sheetViews>
    <sheetView topLeftCell="A159" zoomScale="119" zoomScaleNormal="150" workbookViewId="0">
      <selection activeCell="P162" sqref="P162"/>
    </sheetView>
  </sheetViews>
  <sheetFormatPr defaultColWidth="11.19921875" defaultRowHeight="15.6" x14ac:dyDescent="0.3"/>
  <sheetData>
    <row r="157" spans="16:16" x14ac:dyDescent="0.3">
      <c r="P157">
        <v>2027</v>
      </c>
    </row>
    <row r="158" spans="16:16" x14ac:dyDescent="0.3">
      <c r="P158">
        <v>600</v>
      </c>
    </row>
    <row r="159" spans="16:16" x14ac:dyDescent="0.3">
      <c r="P159">
        <v>395</v>
      </c>
    </row>
    <row r="160" spans="16:16" x14ac:dyDescent="0.3">
      <c r="P160">
        <v>300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D7ACB-13C4-3540-B7CB-DD3E4C8E4741}">
  <dimension ref="A1:S1000"/>
  <sheetViews>
    <sheetView showGridLines="0" zoomScale="87" workbookViewId="0">
      <pane xSplit="3" ySplit="5" topLeftCell="D6" activePane="bottomRight" state="frozen"/>
      <selection pane="topRight" activeCell="D1" sqref="D1"/>
      <selection pane="bottomLeft" activeCell="A6" sqref="A6"/>
      <selection pane="bottomRight" activeCell="L48" sqref="L48"/>
    </sheetView>
  </sheetViews>
  <sheetFormatPr defaultColWidth="14.5" defaultRowHeight="15" customHeight="1" x14ac:dyDescent="0.3"/>
  <cols>
    <col min="1" max="1" width="48.796875" style="4" customWidth="1"/>
    <col min="2" max="2" width="1.296875" style="4" customWidth="1"/>
    <col min="3" max="3" width="1.19921875" style="4" customWidth="1"/>
    <col min="4" max="4" width="9.19921875" style="4" hidden="1" customWidth="1"/>
    <col min="5" max="5" width="9.296875" style="4" hidden="1" customWidth="1"/>
    <col min="6" max="6" width="9.19921875" style="4" customWidth="1"/>
    <col min="7" max="7" width="9.5" style="4" customWidth="1"/>
    <col min="8" max="10" width="9.19921875" style="4" customWidth="1"/>
    <col min="11" max="14" width="10.69921875" style="4" customWidth="1"/>
    <col min="15" max="26" width="8.69921875" style="4" customWidth="1"/>
    <col min="27" max="16384" width="14.5" style="4"/>
  </cols>
  <sheetData>
    <row r="1" spans="1:19" ht="58.5" customHeight="1" x14ac:dyDescent="0.45">
      <c r="A1" s="1" t="s">
        <v>1</v>
      </c>
      <c r="B1" s="2"/>
      <c r="C1" s="2"/>
      <c r="D1" s="3" t="str">
        <f>[1]Basics!B1</f>
        <v>Day 2</v>
      </c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</row>
    <row r="2" spans="1:19" ht="14.4" x14ac:dyDescent="0.3">
      <c r="A2" s="4" t="s">
        <v>2</v>
      </c>
    </row>
    <row r="3" spans="1:19" ht="14.4" x14ac:dyDescent="0.3">
      <c r="A3" s="4" t="s">
        <v>3</v>
      </c>
    </row>
    <row r="4" spans="1:19" ht="14.4" x14ac:dyDescent="0.3">
      <c r="A4" s="5" t="s">
        <v>4</v>
      </c>
      <c r="D4" s="5" t="s">
        <v>5</v>
      </c>
      <c r="E4" s="5" t="s">
        <v>6</v>
      </c>
      <c r="F4" s="5" t="s">
        <v>7</v>
      </c>
      <c r="G4" s="5" t="s">
        <v>8</v>
      </c>
      <c r="H4" s="5" t="s">
        <v>9</v>
      </c>
      <c r="I4" s="5" t="s">
        <v>10</v>
      </c>
      <c r="J4" s="5" t="s">
        <v>11</v>
      </c>
      <c r="K4" s="7">
        <f t="shared" ref="K4:N4" si="0">EDATE(J4,12)</f>
        <v>45382</v>
      </c>
      <c r="L4" s="7">
        <f t="shared" si="0"/>
        <v>45747</v>
      </c>
      <c r="M4" s="7">
        <f t="shared" si="0"/>
        <v>46112</v>
      </c>
      <c r="N4" s="7">
        <f t="shared" si="0"/>
        <v>46477</v>
      </c>
    </row>
    <row r="5" spans="1:19" ht="14.4" x14ac:dyDescent="0.3">
      <c r="A5" s="5" t="s">
        <v>12</v>
      </c>
      <c r="D5" s="5" t="s">
        <v>13</v>
      </c>
      <c r="E5" s="5" t="s">
        <v>14</v>
      </c>
      <c r="F5" s="5" t="s">
        <v>15</v>
      </c>
      <c r="G5" s="5" t="s">
        <v>16</v>
      </c>
      <c r="H5" s="5" t="s">
        <v>17</v>
      </c>
      <c r="I5" s="5" t="s">
        <v>18</v>
      </c>
      <c r="J5" s="5" t="s">
        <v>19</v>
      </c>
      <c r="K5" s="6" t="s">
        <v>20</v>
      </c>
      <c r="L5" s="6" t="s">
        <v>21</v>
      </c>
      <c r="M5" s="6" t="s">
        <v>22</v>
      </c>
      <c r="N5" s="6" t="s">
        <v>23</v>
      </c>
    </row>
    <row r="6" spans="1:19" ht="14.4" x14ac:dyDescent="0.3">
      <c r="K6" s="8"/>
      <c r="L6" s="8"/>
      <c r="M6" s="8"/>
      <c r="N6" s="8"/>
    </row>
    <row r="7" spans="1:19" ht="14.4" x14ac:dyDescent="0.3">
      <c r="A7" s="10" t="s">
        <v>33</v>
      </c>
      <c r="F7" s="11">
        <f>1977852/100</f>
        <v>19778.52</v>
      </c>
      <c r="G7" s="11">
        <f>2105154/100</f>
        <v>21051.54</v>
      </c>
      <c r="H7" s="16">
        <f>21644</f>
        <v>21644</v>
      </c>
      <c r="I7" s="16">
        <f>28799</f>
        <v>28799</v>
      </c>
      <c r="J7" s="16">
        <f>37924+2651</f>
        <v>40575</v>
      </c>
      <c r="K7" s="37">
        <f ca="1">'Revenue Driver'!K7</f>
        <v>53142.15848588325</v>
      </c>
      <c r="L7" s="37">
        <f ca="1">'Revenue Driver'!L7</f>
        <v>68752.181627029946</v>
      </c>
      <c r="M7" s="37">
        <f ca="1">'Revenue Driver'!M7</f>
        <v>88082.979231111633</v>
      </c>
      <c r="N7" s="37">
        <f ca="1">'Revenue Driver'!N7</f>
        <v>111960.3700410124</v>
      </c>
    </row>
    <row r="8" spans="1:19" ht="15.6" x14ac:dyDescent="0.3">
      <c r="A8" t="s">
        <v>34</v>
      </c>
      <c r="F8" s="11">
        <f>18294/100</f>
        <v>182.94</v>
      </c>
      <c r="G8" s="11">
        <f>15323/100</f>
        <v>153.22999999999999</v>
      </c>
      <c r="H8" s="16">
        <v>186</v>
      </c>
      <c r="I8" s="16">
        <f>234</f>
        <v>234</v>
      </c>
      <c r="J8" s="16">
        <v>308</v>
      </c>
      <c r="K8" s="8"/>
      <c r="L8" s="8"/>
      <c r="M8" s="8"/>
      <c r="N8" s="8"/>
    </row>
    <row r="9" spans="1:19" ht="14.4" x14ac:dyDescent="0.3">
      <c r="A9" s="12" t="s">
        <v>35</v>
      </c>
      <c r="F9" s="13">
        <f t="shared" ref="F9:H9" si="1">SUM(F7:F8)</f>
        <v>19961.46</v>
      </c>
      <c r="G9" s="13">
        <f t="shared" si="1"/>
        <v>21204.77</v>
      </c>
      <c r="H9" s="12">
        <f t="shared" si="1"/>
        <v>21830</v>
      </c>
      <c r="I9" s="12">
        <f>SUM(I7:I8)</f>
        <v>29033</v>
      </c>
      <c r="J9" s="12">
        <f>SUM(J7:J8)</f>
        <v>40883</v>
      </c>
      <c r="K9" s="72">
        <f t="shared" ref="K9:N9" ca="1" si="2">SUM(K7:K8)</f>
        <v>53142.15848588325</v>
      </c>
      <c r="L9" s="72">
        <f t="shared" ca="1" si="2"/>
        <v>68752.181627029946</v>
      </c>
      <c r="M9" s="72">
        <f t="shared" ca="1" si="2"/>
        <v>88082.979231111633</v>
      </c>
      <c r="N9" s="72">
        <f t="shared" ca="1" si="2"/>
        <v>111960.3700410124</v>
      </c>
    </row>
    <row r="10" spans="1:19" ht="14.4" x14ac:dyDescent="0.3">
      <c r="K10" s="8"/>
      <c r="L10" s="8"/>
      <c r="M10" s="8"/>
      <c r="N10" s="8"/>
    </row>
    <row r="11" spans="1:19" ht="14.4" x14ac:dyDescent="0.3">
      <c r="A11" s="10" t="s">
        <v>28</v>
      </c>
      <c r="K11" s="8"/>
      <c r="L11" s="8"/>
      <c r="M11" s="8"/>
      <c r="N11" s="8"/>
    </row>
    <row r="12" spans="1:19" ht="15.6" x14ac:dyDescent="0.3">
      <c r="A12" t="s">
        <v>36</v>
      </c>
      <c r="F12" s="11">
        <f>101927/100</f>
        <v>1019.27</v>
      </c>
      <c r="G12" s="11">
        <f>119942/100</f>
        <v>1199.42</v>
      </c>
      <c r="H12" s="16">
        <v>1065</v>
      </c>
      <c r="I12" s="16">
        <f>1349</f>
        <v>1349</v>
      </c>
      <c r="J12" s="16">
        <v>1647</v>
      </c>
      <c r="K12" s="37">
        <f ca="1">'Cost Driver'!K9</f>
        <v>2552.0784723483825</v>
      </c>
      <c r="L12" s="37">
        <f ca="1">'Cost Driver'!L9</f>
        <v>3301.7281882507423</v>
      </c>
      <c r="M12" s="37">
        <f ca="1">'Cost Driver'!M9</f>
        <v>4230.062938368309</v>
      </c>
      <c r="N12" s="37">
        <f ca="1">'Cost Driver'!N9</f>
        <v>5376.7415227164447</v>
      </c>
    </row>
    <row r="13" spans="1:19" ht="15.6" x14ac:dyDescent="0.3">
      <c r="A13" t="s">
        <v>37</v>
      </c>
      <c r="F13" s="11">
        <f>1223063/100</f>
        <v>12230.63</v>
      </c>
      <c r="G13" s="11">
        <f>1304234/100</f>
        <v>13042.34</v>
      </c>
      <c r="H13" s="16">
        <v>13713</v>
      </c>
      <c r="I13" s="16">
        <f>22108</f>
        <v>22108</v>
      </c>
      <c r="J13" s="16">
        <v>26891</v>
      </c>
      <c r="K13" s="37">
        <f ca="1">'Cost Driver'!K10</f>
        <v>34444.581642413788</v>
      </c>
      <c r="L13" s="37">
        <f ca="1">'Cost Driver'!L10</f>
        <v>44562.362550165701</v>
      </c>
      <c r="M13" s="37">
        <f ca="1">'Cost Driver'!M10</f>
        <v>57091.797847071139</v>
      </c>
      <c r="N13" s="37">
        <f ca="1">'Cost Driver'!N10</f>
        <v>72568.149591005727</v>
      </c>
    </row>
    <row r="14" spans="1:19" ht="14.4" x14ac:dyDescent="0.3">
      <c r="A14" s="12" t="s">
        <v>38</v>
      </c>
      <c r="D14" s="9" t="s">
        <v>24</v>
      </c>
      <c r="E14" s="9" t="s">
        <v>25</v>
      </c>
      <c r="F14" s="13">
        <f t="shared" ref="F14:N14" si="3">SUM(F12:F13)</f>
        <v>13249.9</v>
      </c>
      <c r="G14" s="13">
        <f t="shared" si="3"/>
        <v>14241.76</v>
      </c>
      <c r="H14" s="13">
        <f t="shared" si="3"/>
        <v>14778</v>
      </c>
      <c r="I14" s="13">
        <f t="shared" si="3"/>
        <v>23457</v>
      </c>
      <c r="J14" s="13">
        <f t="shared" si="3"/>
        <v>28538</v>
      </c>
      <c r="K14" s="72">
        <f t="shared" ca="1" si="3"/>
        <v>36996.66011476217</v>
      </c>
      <c r="L14" s="72">
        <f t="shared" ca="1" si="3"/>
        <v>47864.090738416446</v>
      </c>
      <c r="M14" s="72">
        <f t="shared" ca="1" si="3"/>
        <v>61321.86078543945</v>
      </c>
      <c r="N14" s="72">
        <f t="shared" ca="1" si="3"/>
        <v>77944.891113722173</v>
      </c>
    </row>
    <row r="15" spans="1:19" ht="14.4" x14ac:dyDescent="0.3">
      <c r="D15" s="9"/>
      <c r="E15" s="9" t="s">
        <v>26</v>
      </c>
      <c r="F15" s="9"/>
      <c r="K15" s="8"/>
      <c r="L15" s="8"/>
      <c r="M15" s="8"/>
      <c r="N15" s="8"/>
    </row>
    <row r="16" spans="1:19" ht="14.4" x14ac:dyDescent="0.3">
      <c r="A16" s="12" t="s">
        <v>38</v>
      </c>
      <c r="D16" s="9"/>
      <c r="E16" s="9" t="s">
        <v>27</v>
      </c>
      <c r="F16" s="13">
        <f t="shared" ref="F16:N16" si="4">F9-F14</f>
        <v>6711.5599999999995</v>
      </c>
      <c r="G16" s="13">
        <f t="shared" si="4"/>
        <v>6963.01</v>
      </c>
      <c r="H16" s="13">
        <f t="shared" si="4"/>
        <v>7052</v>
      </c>
      <c r="I16" s="13">
        <f t="shared" si="4"/>
        <v>5576</v>
      </c>
      <c r="J16" s="13">
        <f t="shared" si="4"/>
        <v>12345</v>
      </c>
      <c r="K16" s="72">
        <f t="shared" ca="1" si="4"/>
        <v>16145.498371121081</v>
      </c>
      <c r="L16" s="72">
        <f t="shared" ca="1" si="4"/>
        <v>20888.0908886135</v>
      </c>
      <c r="M16" s="72">
        <f t="shared" ca="1" si="4"/>
        <v>26761.118445672182</v>
      </c>
      <c r="N16" s="72">
        <f t="shared" ca="1" si="4"/>
        <v>34015.478927290227</v>
      </c>
    </row>
    <row r="17" spans="1:14" ht="15.6" x14ac:dyDescent="0.3">
      <c r="A17" t="s">
        <v>39</v>
      </c>
      <c r="F17" s="14">
        <f t="shared" ref="F17:N17" si="5">F16/F7</f>
        <v>0.33933580470126173</v>
      </c>
      <c r="G17" s="14">
        <f t="shared" si="5"/>
        <v>0.33076012491247669</v>
      </c>
      <c r="H17" s="14">
        <f t="shared" si="5"/>
        <v>0.3258177785991499</v>
      </c>
      <c r="I17" s="14">
        <f t="shared" si="5"/>
        <v>0.19361783395256779</v>
      </c>
      <c r="J17" s="14">
        <f t="shared" si="5"/>
        <v>0.30425138632162663</v>
      </c>
      <c r="K17" s="70">
        <f t="shared" ca="1" si="5"/>
        <v>0.3038171356063753</v>
      </c>
      <c r="L17" s="70">
        <f t="shared" ca="1" si="5"/>
        <v>0.3038171356063753</v>
      </c>
      <c r="M17" s="70">
        <f t="shared" ca="1" si="5"/>
        <v>0.3038171356063753</v>
      </c>
      <c r="N17" s="70">
        <f t="shared" ca="1" si="5"/>
        <v>0.30381713560637535</v>
      </c>
    </row>
    <row r="18" spans="1:14" ht="14.4" x14ac:dyDescent="0.3">
      <c r="J18" s="16"/>
      <c r="K18" s="8"/>
      <c r="L18" s="8"/>
      <c r="M18" s="8"/>
      <c r="N18" s="8"/>
    </row>
    <row r="19" spans="1:14" ht="15.6" x14ac:dyDescent="0.3">
      <c r="A19" s="10" t="s">
        <v>40</v>
      </c>
      <c r="B19"/>
      <c r="C19"/>
      <c r="D19" s="15"/>
      <c r="E19" s="15"/>
      <c r="F19" s="15"/>
      <c r="G19" s="11"/>
      <c r="H19" s="16"/>
      <c r="I19" s="16"/>
      <c r="J19" s="16"/>
      <c r="K19" s="8"/>
      <c r="L19" s="8"/>
      <c r="M19" s="8"/>
      <c r="N19" s="8"/>
    </row>
    <row r="20" spans="1:14" ht="15.6" x14ac:dyDescent="0.3">
      <c r="A20" t="s">
        <v>41</v>
      </c>
      <c r="B20"/>
      <c r="C20"/>
      <c r="D20" s="11">
        <f>117450/100</f>
        <v>1174.5</v>
      </c>
      <c r="E20" s="11">
        <f>221201/100</f>
        <v>2212.0100000000002</v>
      </c>
      <c r="F20" s="11">
        <f>294003/100</f>
        <v>2940.03</v>
      </c>
      <c r="G20" s="11">
        <f>299080/100</f>
        <v>2990.8</v>
      </c>
      <c r="H20" s="16">
        <v>2579</v>
      </c>
      <c r="I20" s="16">
        <f>4328</f>
        <v>4328</v>
      </c>
      <c r="J20" s="16">
        <v>5698</v>
      </c>
      <c r="K20" s="8"/>
      <c r="L20" s="8"/>
      <c r="M20" s="8"/>
      <c r="N20" s="8"/>
    </row>
    <row r="21" spans="1:14" ht="15.75" customHeight="1" x14ac:dyDescent="0.3">
      <c r="A21" t="s">
        <v>42</v>
      </c>
      <c r="B21"/>
      <c r="C21"/>
      <c r="D21" s="11">
        <f>12130/100</f>
        <v>121.3</v>
      </c>
      <c r="E21" s="11">
        <f>3618/100</f>
        <v>36.18</v>
      </c>
      <c r="F21" s="11">
        <f>0</f>
        <v>0</v>
      </c>
      <c r="G21" s="11">
        <f>0</f>
        <v>0</v>
      </c>
      <c r="H21" s="11">
        <f>0</f>
        <v>0</v>
      </c>
      <c r="I21" s="11">
        <f>0</f>
        <v>0</v>
      </c>
      <c r="J21" s="16"/>
      <c r="K21" s="8"/>
      <c r="L21" s="8"/>
      <c r="M21" s="8"/>
      <c r="N21" s="8"/>
    </row>
    <row r="22" spans="1:14" ht="15.75" customHeight="1" x14ac:dyDescent="0.3">
      <c r="A22" t="s">
        <v>43</v>
      </c>
      <c r="B22"/>
      <c r="C22"/>
      <c r="D22" s="11">
        <f>-31371/100</f>
        <v>-313.70999999999998</v>
      </c>
      <c r="E22" s="11">
        <f>-97861/100</f>
        <v>-978.61</v>
      </c>
      <c r="F22" s="11">
        <f>-77641/100</f>
        <v>-776.41</v>
      </c>
      <c r="G22" s="11">
        <f>-87807/100</f>
        <v>-878.07</v>
      </c>
      <c r="H22" s="16">
        <v>122</v>
      </c>
      <c r="I22" s="16">
        <f>-(4795)</f>
        <v>-4795</v>
      </c>
      <c r="J22" s="16">
        <v>-2234</v>
      </c>
      <c r="K22" s="8"/>
      <c r="L22" s="8"/>
      <c r="M22" s="8"/>
      <c r="N22" s="8"/>
    </row>
    <row r="23" spans="1:14" ht="15.75" customHeight="1" x14ac:dyDescent="0.3">
      <c r="A23" t="s">
        <v>44</v>
      </c>
      <c r="B23"/>
      <c r="C23"/>
      <c r="D23" s="11">
        <f>181044/100</f>
        <v>1810.44</v>
      </c>
      <c r="E23" s="11">
        <f>190378/100</f>
        <v>1903.78</v>
      </c>
      <c r="F23" s="11">
        <f>237351/100</f>
        <v>2373.5100000000002</v>
      </c>
      <c r="G23" s="11">
        <f>223047/100</f>
        <v>2230.4699999999998</v>
      </c>
      <c r="H23" s="16">
        <v>2441</v>
      </c>
      <c r="I23" s="16">
        <f>2468</f>
        <v>2468</v>
      </c>
      <c r="J23" s="16">
        <f>2728+966</f>
        <v>3694</v>
      </c>
      <c r="K23" s="37">
        <f ca="1">'Cost Driver'!K11</f>
        <v>5234.3458476291726</v>
      </c>
      <c r="L23" s="37">
        <f ca="1">'Cost Driver'!L11</f>
        <v>6771.887079266603</v>
      </c>
      <c r="M23" s="37">
        <f ca="1">'Cost Driver'!M11</f>
        <v>8675.913619648165</v>
      </c>
      <c r="N23" s="37">
        <f ca="1">'Cost Driver'!N11</f>
        <v>11027.766178878019</v>
      </c>
    </row>
    <row r="24" spans="1:14" ht="15.75" customHeight="1" x14ac:dyDescent="0.3">
      <c r="A24" s="10" t="s">
        <v>45</v>
      </c>
      <c r="B24"/>
      <c r="C24"/>
      <c r="D24" s="11">
        <f t="shared" ref="D24:J24" si="6">SUM(D20:D23)</f>
        <v>2792.5299999999997</v>
      </c>
      <c r="E24" s="11">
        <f t="shared" si="6"/>
        <v>3173.3599999999997</v>
      </c>
      <c r="F24" s="11">
        <f t="shared" si="6"/>
        <v>4537.130000000001</v>
      </c>
      <c r="G24" s="11">
        <f t="shared" si="6"/>
        <v>4343.2</v>
      </c>
      <c r="H24" s="16">
        <f t="shared" si="6"/>
        <v>5142</v>
      </c>
      <c r="I24" s="16">
        <f t="shared" si="6"/>
        <v>2001</v>
      </c>
      <c r="J24" s="16">
        <f t="shared" si="6"/>
        <v>7158</v>
      </c>
      <c r="K24" s="8"/>
      <c r="L24" s="8"/>
      <c r="M24" s="8"/>
      <c r="N24" s="8"/>
    </row>
    <row r="25" spans="1:14" ht="15.75" customHeight="1" x14ac:dyDescent="0.3">
      <c r="J25" s="16"/>
      <c r="K25" s="8"/>
      <c r="L25" s="8"/>
      <c r="M25" s="8"/>
      <c r="N25" s="8"/>
    </row>
    <row r="26" spans="1:14" ht="15.75" customHeight="1" x14ac:dyDescent="0.3">
      <c r="A26" s="12" t="s">
        <v>29</v>
      </c>
      <c r="B26" s="17"/>
      <c r="C26" s="17"/>
      <c r="D26" s="13">
        <f t="shared" ref="D26:N26" si="7">D16-D24</f>
        <v>-2792.5299999999997</v>
      </c>
      <c r="E26" s="13" t="e">
        <f t="shared" si="7"/>
        <v>#VALUE!</v>
      </c>
      <c r="F26" s="13">
        <f t="shared" si="7"/>
        <v>2174.4299999999985</v>
      </c>
      <c r="G26" s="13">
        <f t="shared" si="7"/>
        <v>2619.8100000000004</v>
      </c>
      <c r="H26" s="12">
        <f t="shared" si="7"/>
        <v>1910</v>
      </c>
      <c r="I26" s="12">
        <f t="shared" si="7"/>
        <v>3575</v>
      </c>
      <c r="J26" s="13">
        <f t="shared" si="7"/>
        <v>5187</v>
      </c>
      <c r="K26" s="72">
        <f t="shared" ca="1" si="7"/>
        <v>16145.498371121081</v>
      </c>
      <c r="L26" s="72">
        <f t="shared" ca="1" si="7"/>
        <v>20888.0908886135</v>
      </c>
      <c r="M26" s="72">
        <f t="shared" ca="1" si="7"/>
        <v>26761.118445672182</v>
      </c>
      <c r="N26" s="72">
        <f t="shared" ca="1" si="7"/>
        <v>34015.478927290227</v>
      </c>
    </row>
    <row r="27" spans="1:14" ht="15.75" customHeight="1" x14ac:dyDescent="0.3">
      <c r="A27" t="s">
        <v>46</v>
      </c>
      <c r="B27"/>
      <c r="C27"/>
      <c r="D27" s="18" t="e">
        <f t="shared" ref="D27:J27" si="8">D26/D7</f>
        <v>#DIV/0!</v>
      </c>
      <c r="E27" s="18" t="e">
        <f t="shared" si="8"/>
        <v>#VALUE!</v>
      </c>
      <c r="F27" s="18">
        <f t="shared" si="8"/>
        <v>0.10993896408831391</v>
      </c>
      <c r="G27" s="18">
        <f t="shared" si="8"/>
        <v>0.12444742759912103</v>
      </c>
      <c r="H27" s="18">
        <f t="shared" si="8"/>
        <v>8.8246165218998335E-2</v>
      </c>
      <c r="I27" s="18">
        <f t="shared" si="8"/>
        <v>0.12413625473106706</v>
      </c>
      <c r="J27" s="18">
        <f t="shared" si="8"/>
        <v>0.1278373382624769</v>
      </c>
      <c r="K27" s="8"/>
      <c r="L27" s="8"/>
      <c r="M27" s="8"/>
      <c r="N27" s="8"/>
    </row>
    <row r="28" spans="1:14" ht="15.75" customHeight="1" x14ac:dyDescent="0.3">
      <c r="K28" s="8"/>
      <c r="L28" s="8"/>
      <c r="M28" s="8"/>
      <c r="N28" s="8"/>
    </row>
    <row r="29" spans="1:14" ht="15.75" customHeight="1" x14ac:dyDescent="0.3">
      <c r="A29" s="19" t="s">
        <v>47</v>
      </c>
      <c r="B29"/>
      <c r="C29"/>
      <c r="D29" s="11">
        <f>11053/100</f>
        <v>110.53</v>
      </c>
      <c r="E29" s="11">
        <f>13143/100</f>
        <v>131.43</v>
      </c>
      <c r="F29" s="11">
        <f>16284/100</f>
        <v>162.84</v>
      </c>
      <c r="G29" s="11">
        <f>34796/100</f>
        <v>347.96</v>
      </c>
      <c r="H29" s="16">
        <v>375</v>
      </c>
      <c r="I29" s="16">
        <f>399</f>
        <v>399</v>
      </c>
      <c r="J29" s="16">
        <v>441</v>
      </c>
      <c r="K29" s="37">
        <f>'Asset Schedule'!K17</f>
        <v>486.25862068965517</v>
      </c>
      <c r="L29" s="37">
        <f ca="1">'Asset Schedule'!L17</f>
        <v>458.12395168476309</v>
      </c>
      <c r="M29" s="37">
        <f ca="1">'Asset Schedule'!M17</f>
        <v>483.62743859607912</v>
      </c>
      <c r="N29" s="37">
        <f ca="1">'Asset Schedule'!N17</f>
        <v>553.70537577046343</v>
      </c>
    </row>
    <row r="30" spans="1:14" ht="15.75" customHeight="1" x14ac:dyDescent="0.3">
      <c r="A30" t="s">
        <v>48</v>
      </c>
      <c r="B30"/>
      <c r="C30"/>
      <c r="D30" s="11"/>
      <c r="E30" s="15"/>
      <c r="F30" s="15"/>
      <c r="G30" s="11"/>
      <c r="H30" s="16"/>
      <c r="I30" s="10"/>
      <c r="J30"/>
      <c r="K30" s="8"/>
      <c r="L30" s="8"/>
      <c r="M30" s="8"/>
      <c r="N30" s="8"/>
    </row>
    <row r="31" spans="1:14" ht="15.75" customHeight="1" x14ac:dyDescent="0.3">
      <c r="A31" t="s">
        <v>49</v>
      </c>
      <c r="B31"/>
      <c r="C31"/>
      <c r="D31" s="11">
        <f>28/100</f>
        <v>0.28000000000000003</v>
      </c>
      <c r="E31" s="11">
        <f>-37/100</f>
        <v>-0.37</v>
      </c>
      <c r="F31" s="11">
        <f>7/100</f>
        <v>7.0000000000000007E-2</v>
      </c>
      <c r="G31" s="11">
        <f>54/100</f>
        <v>0.54</v>
      </c>
      <c r="H31" s="16">
        <v>0</v>
      </c>
      <c r="I31" s="20">
        <f>0</f>
        <v>0</v>
      </c>
      <c r="J31" s="15"/>
      <c r="K31" s="8"/>
      <c r="L31" s="8"/>
      <c r="M31" s="8"/>
      <c r="N31" s="8"/>
    </row>
    <row r="32" spans="1:14" ht="15.75" customHeight="1" x14ac:dyDescent="0.3">
      <c r="A32" t="s">
        <v>50</v>
      </c>
      <c r="B32"/>
      <c r="C32"/>
      <c r="D32" s="11">
        <f>-205/100</f>
        <v>-2.0499999999999998</v>
      </c>
      <c r="E32" s="11">
        <f>-240/100</f>
        <v>-2.4</v>
      </c>
      <c r="F32" s="11">
        <f>-223/100</f>
        <v>-2.23</v>
      </c>
      <c r="G32" s="11">
        <f>-457/100</f>
        <v>-4.57</v>
      </c>
      <c r="H32" s="16">
        <v>-5</v>
      </c>
      <c r="I32" s="21">
        <f>0</f>
        <v>0</v>
      </c>
      <c r="J32" s="15"/>
      <c r="K32" s="8"/>
      <c r="L32" s="8"/>
      <c r="M32" s="8"/>
      <c r="N32" s="8"/>
    </row>
    <row r="33" spans="1:14" ht="15.75" customHeight="1" x14ac:dyDescent="0.3">
      <c r="A33" s="10" t="s">
        <v>30</v>
      </c>
      <c r="B33"/>
      <c r="C33"/>
      <c r="D33" s="21">
        <f t="shared" ref="D33:N33" si="9">D26-D29+D31+D32</f>
        <v>-2904.83</v>
      </c>
      <c r="E33" s="21" t="e">
        <f t="shared" si="9"/>
        <v>#VALUE!</v>
      </c>
      <c r="F33" s="21">
        <f t="shared" si="9"/>
        <v>2009.4299999999985</v>
      </c>
      <c r="G33" s="21">
        <f t="shared" si="9"/>
        <v>2267.8200000000002</v>
      </c>
      <c r="H33" s="21">
        <f t="shared" si="9"/>
        <v>1530</v>
      </c>
      <c r="I33" s="21">
        <f t="shared" si="9"/>
        <v>3176</v>
      </c>
      <c r="J33" s="21">
        <f t="shared" si="9"/>
        <v>4746</v>
      </c>
      <c r="K33" s="37">
        <f t="shared" ca="1" si="9"/>
        <v>15659.239750431425</v>
      </c>
      <c r="L33" s="37">
        <f t="shared" ca="1" si="9"/>
        <v>20429.966936928737</v>
      </c>
      <c r="M33" s="37">
        <f t="shared" ca="1" si="9"/>
        <v>26277.491007076103</v>
      </c>
      <c r="N33" s="37">
        <f t="shared" ca="1" si="9"/>
        <v>33461.773551519764</v>
      </c>
    </row>
    <row r="34" spans="1:14" ht="15.75" customHeight="1" x14ac:dyDescent="0.3">
      <c r="A34"/>
      <c r="B34"/>
      <c r="C34"/>
      <c r="D34" s="15"/>
      <c r="E34" s="15"/>
      <c r="F34" s="15"/>
      <c r="G34" s="11"/>
      <c r="H34" s="16"/>
      <c r="I34" s="21"/>
      <c r="J34"/>
      <c r="K34" s="8"/>
      <c r="L34" s="8"/>
      <c r="M34" s="8"/>
      <c r="N34" s="8"/>
    </row>
    <row r="35" spans="1:14" ht="15.75" customHeight="1" x14ac:dyDescent="0.3">
      <c r="A35" t="s">
        <v>51</v>
      </c>
      <c r="B35"/>
      <c r="C35"/>
      <c r="D35" s="11">
        <f>3774/100</f>
        <v>37.74</v>
      </c>
      <c r="E35" s="11">
        <f>5292/100</f>
        <v>52.92</v>
      </c>
      <c r="F35" s="11">
        <f>5254/100</f>
        <v>52.54</v>
      </c>
      <c r="G35" s="11">
        <f>16617/100</f>
        <v>166.17</v>
      </c>
      <c r="H35" s="16">
        <v>203</v>
      </c>
      <c r="I35" s="16">
        <f>218</f>
        <v>218</v>
      </c>
      <c r="J35" s="16">
        <v>300</v>
      </c>
      <c r="K35" s="8"/>
      <c r="L35" s="8"/>
      <c r="M35" s="8"/>
      <c r="N35" s="8"/>
    </row>
    <row r="36" spans="1:14" ht="15.75" customHeight="1" x14ac:dyDescent="0.3">
      <c r="A36" s="12" t="s">
        <v>31</v>
      </c>
      <c r="B36" s="17"/>
      <c r="C36" s="17"/>
      <c r="D36" s="13">
        <f t="shared" ref="D36:N36" si="10">D33-D35</f>
        <v>-2942.5699999999997</v>
      </c>
      <c r="E36" s="13" t="e">
        <f t="shared" si="10"/>
        <v>#VALUE!</v>
      </c>
      <c r="F36" s="13">
        <f t="shared" si="10"/>
        <v>1956.8899999999985</v>
      </c>
      <c r="G36" s="13">
        <f t="shared" si="10"/>
        <v>2101.65</v>
      </c>
      <c r="H36" s="13">
        <f t="shared" si="10"/>
        <v>1327</v>
      </c>
      <c r="I36" s="13">
        <f t="shared" si="10"/>
        <v>2958</v>
      </c>
      <c r="J36" s="13">
        <f t="shared" si="10"/>
        <v>4446</v>
      </c>
      <c r="K36" s="72">
        <f t="shared" ca="1" si="10"/>
        <v>15659.239750431425</v>
      </c>
      <c r="L36" s="72">
        <f t="shared" ca="1" si="10"/>
        <v>20429.966936928737</v>
      </c>
      <c r="M36" s="72">
        <f t="shared" ca="1" si="10"/>
        <v>26277.491007076103</v>
      </c>
      <c r="N36" s="72">
        <f t="shared" ca="1" si="10"/>
        <v>33461.773551519764</v>
      </c>
    </row>
    <row r="37" spans="1:14" ht="15.75" customHeight="1" x14ac:dyDescent="0.3">
      <c r="A37" t="s">
        <v>52</v>
      </c>
      <c r="B37"/>
      <c r="C37"/>
      <c r="D37" s="20" t="e">
        <f t="shared" ref="D37:I37" si="11">D36/D7</f>
        <v>#DIV/0!</v>
      </c>
      <c r="E37" s="22" t="e">
        <f t="shared" si="11"/>
        <v>#VALUE!</v>
      </c>
      <c r="F37" s="22">
        <f t="shared" si="11"/>
        <v>9.8940163369149889E-2</v>
      </c>
      <c r="G37" s="22">
        <f t="shared" si="11"/>
        <v>9.9833551369638521E-2</v>
      </c>
      <c r="H37" s="22">
        <f t="shared" si="11"/>
        <v>6.1310293845869522E-2</v>
      </c>
      <c r="I37" s="22">
        <f t="shared" si="11"/>
        <v>0.10271189971874023</v>
      </c>
      <c r="J37" s="22"/>
      <c r="K37" s="8"/>
      <c r="L37" s="8"/>
      <c r="M37" s="8"/>
      <c r="N37" s="8"/>
    </row>
    <row r="38" spans="1:14" ht="15.75" customHeight="1" x14ac:dyDescent="0.3">
      <c r="A38"/>
      <c r="B38"/>
      <c r="C38"/>
      <c r="D38" s="15"/>
      <c r="E38" s="15"/>
      <c r="F38" s="15"/>
      <c r="G38" s="11"/>
      <c r="H38" s="16"/>
      <c r="I38" s="16"/>
      <c r="J38"/>
      <c r="K38" s="8"/>
      <c r="L38" s="8"/>
      <c r="M38" s="8"/>
      <c r="N38" s="8"/>
    </row>
    <row r="39" spans="1:14" ht="15.75" customHeight="1" x14ac:dyDescent="0.3">
      <c r="A39" t="s">
        <v>53</v>
      </c>
      <c r="B39"/>
      <c r="C39"/>
      <c r="D39" s="11">
        <f>10269/100</f>
        <v>102.69</v>
      </c>
      <c r="E39" s="11">
        <f>1665/100</f>
        <v>16.649999999999999</v>
      </c>
      <c r="F39" s="11">
        <v>0</v>
      </c>
      <c r="G39" s="11">
        <f>0</f>
        <v>0</v>
      </c>
      <c r="H39" s="16">
        <v>0</v>
      </c>
      <c r="I39" s="16">
        <f>54</f>
        <v>54</v>
      </c>
      <c r="J39"/>
      <c r="K39" s="8"/>
      <c r="L39" s="8"/>
      <c r="M39" s="8"/>
      <c r="N39" s="8"/>
    </row>
    <row r="40" spans="1:14" ht="15.75" customHeight="1" x14ac:dyDescent="0.3">
      <c r="A40" s="10" t="s">
        <v>54</v>
      </c>
      <c r="B40"/>
      <c r="C40"/>
      <c r="D40" s="11">
        <f>D36-D39</f>
        <v>-3045.2599999999998</v>
      </c>
      <c r="E40" s="11" t="e">
        <f t="shared" ref="E40:I40" si="12">E36-E39</f>
        <v>#VALUE!</v>
      </c>
      <c r="F40" s="11">
        <f t="shared" si="12"/>
        <v>1956.8899999999985</v>
      </c>
      <c r="G40" s="11">
        <f t="shared" si="12"/>
        <v>2101.65</v>
      </c>
      <c r="H40" s="11">
        <f t="shared" si="12"/>
        <v>1327</v>
      </c>
      <c r="I40" s="11">
        <f t="shared" si="12"/>
        <v>2904</v>
      </c>
      <c r="J40" s="11">
        <f>J36</f>
        <v>4446</v>
      </c>
      <c r="K40" s="8"/>
      <c r="L40" s="8"/>
      <c r="M40" s="8"/>
      <c r="N40" s="8"/>
    </row>
    <row r="41" spans="1:14" ht="15.75" customHeight="1" x14ac:dyDescent="0.3">
      <c r="A41" s="10"/>
      <c r="B41"/>
      <c r="C41"/>
      <c r="D41" s="11"/>
      <c r="E41" s="11"/>
      <c r="F41" s="11"/>
      <c r="G41" s="11"/>
      <c r="H41" s="11"/>
      <c r="I41" s="11"/>
      <c r="J41"/>
      <c r="K41" s="8"/>
      <c r="L41" s="8"/>
      <c r="M41" s="8"/>
      <c r="N41" s="8"/>
    </row>
    <row r="42" spans="1:14" ht="15.75" customHeight="1" x14ac:dyDescent="0.3">
      <c r="A42" s="10" t="s">
        <v>55</v>
      </c>
      <c r="B42"/>
      <c r="C42"/>
      <c r="D42" s="11">
        <f>'[2]cost drivers'!D22</f>
        <v>275.97000000000003</v>
      </c>
      <c r="E42" s="11">
        <f>'[2]cost drivers'!E22</f>
        <v>427.87</v>
      </c>
      <c r="F42" s="11">
        <f>'[2]cost drivers'!F22</f>
        <v>568.24</v>
      </c>
      <c r="G42" s="11">
        <f>'[2]cost drivers'!G22</f>
        <v>608.99</v>
      </c>
      <c r="H42" s="11">
        <f>'[2]cost drivers'!H22</f>
        <v>353</v>
      </c>
      <c r="I42" s="11">
        <f>'[2]cost drivers'!I22</f>
        <v>706</v>
      </c>
      <c r="J42" s="11">
        <v>1173</v>
      </c>
      <c r="K42" s="71">
        <f ca="1">K36*'Cost Driver'!K20</f>
        <v>4131.4188545335273</v>
      </c>
      <c r="L42" s="71">
        <f ca="1">L36*'Cost Driver'!L20</f>
        <v>5390.0924914569068</v>
      </c>
      <c r="M42" s="71">
        <f ca="1">M36*'Cost Driver'!M20</f>
        <v>6932.860312933034</v>
      </c>
      <c r="N42" s="71">
        <f ca="1">N36*'Cost Driver'!N20</f>
        <v>8828.3086765480621</v>
      </c>
    </row>
    <row r="43" spans="1:14" ht="15.75" customHeight="1" x14ac:dyDescent="0.3">
      <c r="A43"/>
      <c r="B43"/>
      <c r="C43"/>
      <c r="D43" s="11"/>
      <c r="E43" s="11"/>
      <c r="F43" s="11"/>
      <c r="G43" s="11"/>
      <c r="H43" s="16"/>
      <c r="I43" s="16"/>
      <c r="J43"/>
      <c r="K43" s="8"/>
      <c r="L43" s="8"/>
      <c r="M43" s="8"/>
      <c r="N43" s="8"/>
    </row>
    <row r="44" spans="1:14" ht="15.75" customHeight="1" x14ac:dyDescent="0.3">
      <c r="A44"/>
      <c r="B44"/>
      <c r="C44"/>
      <c r="D44" s="11"/>
      <c r="E44" s="11"/>
      <c r="F44" s="11"/>
      <c r="G44" s="11"/>
      <c r="H44" s="16"/>
      <c r="I44" s="16"/>
      <c r="J44"/>
      <c r="K44" s="8"/>
      <c r="L44" s="8"/>
      <c r="M44" s="8"/>
      <c r="N44" s="8"/>
    </row>
    <row r="45" spans="1:14" ht="15.75" customHeight="1" x14ac:dyDescent="0.3">
      <c r="A45" s="12" t="s">
        <v>32</v>
      </c>
      <c r="B45" s="17"/>
      <c r="C45" s="17"/>
      <c r="D45" s="13">
        <f t="shared" ref="D45:I45" si="13">D36-D39-D43-D44</f>
        <v>-3045.2599999999998</v>
      </c>
      <c r="E45" s="13" t="e">
        <f t="shared" si="13"/>
        <v>#VALUE!</v>
      </c>
      <c r="F45" s="13">
        <f t="shared" si="13"/>
        <v>1956.8899999999985</v>
      </c>
      <c r="G45" s="13">
        <f t="shared" si="13"/>
        <v>2101.65</v>
      </c>
      <c r="H45" s="13">
        <f t="shared" si="13"/>
        <v>1327</v>
      </c>
      <c r="I45" s="13">
        <f t="shared" si="13"/>
        <v>2904</v>
      </c>
      <c r="J45" s="13">
        <f>J36-J39-J43-J44-J42</f>
        <v>3273</v>
      </c>
      <c r="K45" s="72">
        <f t="shared" ref="K45:N45" ca="1" si="14">K36-K39-K43-K44-K42</f>
        <v>11527.820895897898</v>
      </c>
      <c r="L45" s="72">
        <f t="shared" ca="1" si="14"/>
        <v>15039.874445471829</v>
      </c>
      <c r="M45" s="72">
        <f t="shared" ca="1" si="14"/>
        <v>19344.63069414307</v>
      </c>
      <c r="N45" s="72">
        <f t="shared" ca="1" si="14"/>
        <v>24633.464874971702</v>
      </c>
    </row>
    <row r="46" spans="1:14" ht="15.75" customHeight="1" x14ac:dyDescent="0.3">
      <c r="A46"/>
      <c r="B46"/>
      <c r="C46"/>
      <c r="D46"/>
      <c r="E46"/>
      <c r="F46" s="15"/>
      <c r="G46"/>
      <c r="H46"/>
      <c r="I46" s="16"/>
      <c r="J46"/>
      <c r="K46" s="8"/>
      <c r="L46" s="8"/>
      <c r="M46" s="8"/>
      <c r="N46" s="8"/>
    </row>
    <row r="47" spans="1:14" ht="15.75" customHeight="1" x14ac:dyDescent="0.3">
      <c r="A47" s="10" t="s">
        <v>56</v>
      </c>
      <c r="B47"/>
      <c r="C47"/>
      <c r="D47"/>
      <c r="E47"/>
      <c r="F47" s="15"/>
      <c r="G47"/>
      <c r="H47"/>
      <c r="I47"/>
      <c r="J47"/>
      <c r="K47" s="8"/>
      <c r="L47" s="8"/>
      <c r="M47" s="8"/>
      <c r="N47" s="8"/>
    </row>
    <row r="48" spans="1:14" ht="15.75" customHeight="1" x14ac:dyDescent="0.3">
      <c r="A48" s="10" t="s">
        <v>57</v>
      </c>
      <c r="B48"/>
      <c r="C48"/>
      <c r="D48" s="16">
        <f>8.17</f>
        <v>8.17</v>
      </c>
      <c r="E48" s="16">
        <f>12.75</f>
        <v>12.75</v>
      </c>
      <c r="F48" s="23">
        <f>15.82</f>
        <v>15.82</v>
      </c>
      <c r="G48" s="23">
        <v>16.91</v>
      </c>
      <c r="H48" s="23">
        <f>10.96</f>
        <v>10.96</v>
      </c>
      <c r="I48" s="16">
        <f>24.49</f>
        <v>24.49</v>
      </c>
      <c r="J48" s="23">
        <v>36.61</v>
      </c>
      <c r="K48" s="8"/>
      <c r="L48" s="8"/>
      <c r="M48" s="8"/>
      <c r="N48" s="8"/>
    </row>
    <row r="49" spans="1:14" ht="15.75" customHeight="1" x14ac:dyDescent="0.3">
      <c r="A49" s="10" t="s">
        <v>58</v>
      </c>
      <c r="B49"/>
      <c r="C49"/>
      <c r="D49" s="16">
        <f>D48</f>
        <v>8.17</v>
      </c>
      <c r="E49" s="16">
        <f>E48</f>
        <v>12.75</v>
      </c>
      <c r="F49" s="23">
        <f>F48</f>
        <v>15.82</v>
      </c>
      <c r="G49" s="23">
        <v>16.91</v>
      </c>
      <c r="H49" s="16">
        <f>H48</f>
        <v>10.96</v>
      </c>
      <c r="I49" s="16">
        <f>24.49</f>
        <v>24.49</v>
      </c>
      <c r="J49" s="23">
        <v>36.61</v>
      </c>
      <c r="K49" s="8"/>
      <c r="L49" s="8"/>
      <c r="M49" s="8"/>
      <c r="N49" s="8"/>
    </row>
    <row r="50" spans="1:14" ht="15.75" customHeight="1" x14ac:dyDescent="0.3">
      <c r="A50"/>
      <c r="B50"/>
      <c r="C50"/>
      <c r="D50"/>
      <c r="E50"/>
      <c r="F50" s="15"/>
      <c r="G50"/>
      <c r="H50"/>
      <c r="I50"/>
      <c r="J50"/>
      <c r="K50" s="8"/>
      <c r="L50" s="8"/>
      <c r="M50" s="8"/>
      <c r="N50" s="8"/>
    </row>
    <row r="51" spans="1:14" ht="15.75" customHeight="1" x14ac:dyDescent="0.3">
      <c r="A51" s="10" t="s">
        <v>59</v>
      </c>
      <c r="B51"/>
      <c r="C51"/>
      <c r="D51"/>
      <c r="E51"/>
      <c r="F51" s="15"/>
      <c r="G51"/>
      <c r="H51"/>
      <c r="I51"/>
      <c r="J51"/>
      <c r="K51" s="8"/>
      <c r="L51" s="8"/>
      <c r="M51" s="8"/>
      <c r="N51" s="8"/>
    </row>
    <row r="52" spans="1:14" ht="15.75" customHeight="1" x14ac:dyDescent="0.3">
      <c r="A52" s="10" t="s">
        <v>57</v>
      </c>
      <c r="B52"/>
      <c r="C52"/>
      <c r="D52" s="24">
        <f>D45/D48</f>
        <v>-372.73684210526312</v>
      </c>
      <c r="E52" s="24" t="e">
        <f t="shared" ref="E52:H52" si="15">E45/E48</f>
        <v>#VALUE!</v>
      </c>
      <c r="F52" s="24">
        <f t="shared" si="15"/>
        <v>123.69721871049295</v>
      </c>
      <c r="G52" s="24">
        <f>G45/G48</f>
        <v>124.28444707273803</v>
      </c>
      <c r="H52" s="24">
        <f t="shared" si="15"/>
        <v>121.07664233576641</v>
      </c>
      <c r="I52" s="24">
        <f>I45/I48</f>
        <v>118.57901184156799</v>
      </c>
      <c r="J52" s="24">
        <f>I52</f>
        <v>118.57901184156799</v>
      </c>
      <c r="K52" s="8"/>
      <c r="L52" s="8"/>
      <c r="M52" s="8"/>
      <c r="N52" s="8"/>
    </row>
    <row r="53" spans="1:14" ht="15.75" customHeight="1" x14ac:dyDescent="0.3">
      <c r="A53" s="10" t="s">
        <v>58</v>
      </c>
      <c r="B53"/>
      <c r="C53"/>
      <c r="D53" s="24">
        <f>D45/D49</f>
        <v>-372.73684210526312</v>
      </c>
      <c r="E53" s="24" t="e">
        <f t="shared" ref="E53:I53" si="16">E45/E49</f>
        <v>#VALUE!</v>
      </c>
      <c r="F53" s="24">
        <f t="shared" si="16"/>
        <v>123.69721871049295</v>
      </c>
      <c r="G53" s="24">
        <f t="shared" si="16"/>
        <v>124.28444707273803</v>
      </c>
      <c r="H53" s="24">
        <f t="shared" si="16"/>
        <v>121.07664233576641</v>
      </c>
      <c r="I53" s="24">
        <f t="shared" si="16"/>
        <v>118.57901184156799</v>
      </c>
      <c r="J53" s="24">
        <f>I53</f>
        <v>118.57901184156799</v>
      </c>
      <c r="K53" s="8"/>
      <c r="L53" s="8"/>
      <c r="M53" s="8"/>
      <c r="N53" s="8"/>
    </row>
    <row r="54" spans="1:14" ht="15.75" customHeight="1" x14ac:dyDescent="0.3">
      <c r="K54" s="8"/>
      <c r="L54" s="8"/>
      <c r="M54" s="8"/>
      <c r="N54" s="8"/>
    </row>
    <row r="55" spans="1:14" ht="15.75" customHeight="1" x14ac:dyDescent="0.3">
      <c r="K55" s="8"/>
      <c r="L55" s="8"/>
      <c r="M55" s="8"/>
      <c r="N55" s="8"/>
    </row>
    <row r="56" spans="1:14" ht="15.75" customHeight="1" x14ac:dyDescent="0.3">
      <c r="K56" s="8"/>
      <c r="L56" s="8"/>
      <c r="M56" s="8"/>
      <c r="N56" s="8"/>
    </row>
    <row r="57" spans="1:14" ht="15.75" customHeight="1" x14ac:dyDescent="0.3">
      <c r="K57" s="8"/>
      <c r="L57" s="8"/>
      <c r="M57" s="8"/>
      <c r="N57" s="8"/>
    </row>
    <row r="58" spans="1:14" ht="15.75" customHeight="1" x14ac:dyDescent="0.3">
      <c r="K58" s="8"/>
      <c r="L58" s="8"/>
      <c r="M58" s="8"/>
      <c r="N58" s="8"/>
    </row>
    <row r="59" spans="1:14" ht="15.75" customHeight="1" x14ac:dyDescent="0.3">
      <c r="K59" s="8"/>
      <c r="L59" s="8"/>
      <c r="M59" s="8"/>
      <c r="N59" s="8"/>
    </row>
    <row r="60" spans="1:14" ht="15.75" customHeight="1" x14ac:dyDescent="0.3">
      <c r="K60" s="8"/>
      <c r="L60" s="8"/>
      <c r="M60" s="8"/>
      <c r="N60" s="8"/>
    </row>
    <row r="61" spans="1:14" ht="15.75" customHeight="1" x14ac:dyDescent="0.3">
      <c r="K61" s="8"/>
      <c r="L61" s="8"/>
      <c r="M61" s="8"/>
      <c r="N61" s="8"/>
    </row>
    <row r="62" spans="1:14" ht="15.75" customHeight="1" x14ac:dyDescent="0.3">
      <c r="K62" s="8"/>
      <c r="L62" s="8"/>
      <c r="M62" s="8"/>
      <c r="N62" s="8"/>
    </row>
    <row r="63" spans="1:14" ht="15.75" customHeight="1" x14ac:dyDescent="0.3">
      <c r="K63" s="8"/>
      <c r="L63" s="8"/>
      <c r="M63" s="8"/>
      <c r="N63" s="8"/>
    </row>
    <row r="64" spans="1:14" ht="15.75" customHeight="1" x14ac:dyDescent="0.3">
      <c r="K64" s="8"/>
      <c r="L64" s="8"/>
      <c r="M64" s="8"/>
      <c r="N64" s="8"/>
    </row>
    <row r="65" spans="11:14" ht="15.75" customHeight="1" x14ac:dyDescent="0.3">
      <c r="K65" s="8"/>
      <c r="L65" s="8"/>
      <c r="M65" s="8"/>
      <c r="N65" s="8"/>
    </row>
    <row r="66" spans="11:14" ht="15.75" customHeight="1" x14ac:dyDescent="0.3">
      <c r="K66" s="8"/>
      <c r="L66" s="8"/>
      <c r="M66" s="8"/>
      <c r="N66" s="8"/>
    </row>
    <row r="67" spans="11:14" ht="15.75" customHeight="1" x14ac:dyDescent="0.3">
      <c r="K67" s="8"/>
      <c r="L67" s="8"/>
      <c r="M67" s="8"/>
      <c r="N67" s="8"/>
    </row>
    <row r="68" spans="11:14" ht="15.75" customHeight="1" x14ac:dyDescent="0.3">
      <c r="K68" s="8"/>
      <c r="L68" s="8"/>
      <c r="M68" s="8"/>
      <c r="N68" s="8"/>
    </row>
    <row r="69" spans="11:14" ht="15.75" customHeight="1" x14ac:dyDescent="0.3">
      <c r="K69" s="8"/>
      <c r="L69" s="8"/>
      <c r="M69" s="8"/>
      <c r="N69" s="8"/>
    </row>
    <row r="70" spans="11:14" ht="15.75" customHeight="1" x14ac:dyDescent="0.3">
      <c r="K70" s="8"/>
      <c r="L70" s="8"/>
      <c r="M70" s="8"/>
      <c r="N70" s="8"/>
    </row>
    <row r="71" spans="11:14" ht="15.75" customHeight="1" x14ac:dyDescent="0.3">
      <c r="K71" s="8"/>
      <c r="L71" s="8"/>
      <c r="M71" s="8"/>
      <c r="N71" s="8"/>
    </row>
    <row r="72" spans="11:14" ht="15.75" customHeight="1" x14ac:dyDescent="0.3">
      <c r="K72" s="8"/>
      <c r="L72" s="8"/>
      <c r="M72" s="8"/>
      <c r="N72" s="8"/>
    </row>
    <row r="73" spans="11:14" ht="15.75" customHeight="1" x14ac:dyDescent="0.3">
      <c r="K73" s="8"/>
      <c r="L73" s="8"/>
      <c r="M73" s="8"/>
      <c r="N73" s="8"/>
    </row>
    <row r="74" spans="11:14" ht="15.75" customHeight="1" x14ac:dyDescent="0.3">
      <c r="K74" s="8"/>
      <c r="L74" s="8"/>
      <c r="M74" s="8"/>
      <c r="N74" s="8"/>
    </row>
    <row r="75" spans="11:14" ht="15.75" customHeight="1" x14ac:dyDescent="0.3">
      <c r="K75" s="8"/>
      <c r="L75" s="8"/>
      <c r="M75" s="8"/>
      <c r="N75" s="8"/>
    </row>
    <row r="76" spans="11:14" ht="15.75" customHeight="1" x14ac:dyDescent="0.3">
      <c r="K76" s="8"/>
      <c r="L76" s="8"/>
      <c r="M76" s="8"/>
      <c r="N76" s="8"/>
    </row>
    <row r="77" spans="11:14" ht="15.75" customHeight="1" x14ac:dyDescent="0.3">
      <c r="K77" s="8"/>
      <c r="L77" s="8"/>
      <c r="M77" s="8"/>
      <c r="N77" s="8"/>
    </row>
    <row r="78" spans="11:14" ht="15.75" customHeight="1" x14ac:dyDescent="0.3">
      <c r="K78" s="8"/>
      <c r="L78" s="8"/>
      <c r="M78" s="8"/>
      <c r="N78" s="8"/>
    </row>
    <row r="79" spans="11:14" ht="15.75" customHeight="1" x14ac:dyDescent="0.3">
      <c r="K79" s="8"/>
      <c r="L79" s="8"/>
      <c r="M79" s="8"/>
      <c r="N79" s="8"/>
    </row>
    <row r="80" spans="11:14" ht="15.75" customHeight="1" x14ac:dyDescent="0.3">
      <c r="K80" s="8"/>
      <c r="L80" s="8"/>
      <c r="M80" s="8"/>
      <c r="N80" s="8"/>
    </row>
    <row r="81" spans="11:14" ht="15.75" customHeight="1" x14ac:dyDescent="0.3">
      <c r="K81" s="8"/>
      <c r="L81" s="8"/>
      <c r="M81" s="8"/>
      <c r="N81" s="8"/>
    </row>
    <row r="82" spans="11:14" ht="15.75" customHeight="1" x14ac:dyDescent="0.3">
      <c r="K82" s="8"/>
      <c r="L82" s="8"/>
      <c r="M82" s="8"/>
      <c r="N82" s="8"/>
    </row>
    <row r="83" spans="11:14" ht="15.75" customHeight="1" x14ac:dyDescent="0.3">
      <c r="K83" s="8"/>
      <c r="L83" s="8"/>
      <c r="M83" s="8"/>
      <c r="N83" s="8"/>
    </row>
    <row r="84" spans="11:14" ht="15.75" customHeight="1" x14ac:dyDescent="0.3">
      <c r="K84" s="8"/>
      <c r="L84" s="8"/>
      <c r="M84" s="8"/>
      <c r="N84" s="8"/>
    </row>
    <row r="85" spans="11:14" ht="15.75" customHeight="1" x14ac:dyDescent="0.3">
      <c r="K85" s="8"/>
      <c r="L85" s="8"/>
      <c r="M85" s="8"/>
      <c r="N85" s="8"/>
    </row>
    <row r="86" spans="11:14" ht="15.75" customHeight="1" x14ac:dyDescent="0.3">
      <c r="K86" s="8"/>
      <c r="L86" s="8"/>
      <c r="M86" s="8"/>
      <c r="N86" s="8"/>
    </row>
    <row r="87" spans="11:14" ht="15.75" customHeight="1" x14ac:dyDescent="0.3">
      <c r="K87" s="8"/>
      <c r="L87" s="8"/>
      <c r="M87" s="8"/>
      <c r="N87" s="8"/>
    </row>
    <row r="88" spans="11:14" ht="15.75" customHeight="1" x14ac:dyDescent="0.3">
      <c r="K88" s="8"/>
      <c r="L88" s="8"/>
      <c r="M88" s="8"/>
      <c r="N88" s="8"/>
    </row>
    <row r="89" spans="11:14" ht="15.75" customHeight="1" x14ac:dyDescent="0.3">
      <c r="K89" s="8"/>
      <c r="L89" s="8"/>
      <c r="M89" s="8"/>
      <c r="N89" s="8"/>
    </row>
    <row r="90" spans="11:14" ht="15.75" customHeight="1" x14ac:dyDescent="0.3">
      <c r="K90" s="8"/>
      <c r="L90" s="8"/>
      <c r="M90" s="8"/>
      <c r="N90" s="8"/>
    </row>
    <row r="91" spans="11:14" ht="15.75" customHeight="1" x14ac:dyDescent="0.3">
      <c r="K91" s="8"/>
      <c r="L91" s="8"/>
      <c r="M91" s="8"/>
      <c r="N91" s="8"/>
    </row>
    <row r="92" spans="11:14" ht="15.75" customHeight="1" x14ac:dyDescent="0.3">
      <c r="K92" s="8"/>
      <c r="L92" s="8"/>
      <c r="M92" s="8"/>
      <c r="N92" s="8"/>
    </row>
    <row r="93" spans="11:14" ht="15.75" customHeight="1" x14ac:dyDescent="0.3">
      <c r="K93" s="8"/>
      <c r="L93" s="8"/>
      <c r="M93" s="8"/>
      <c r="N93" s="8"/>
    </row>
    <row r="94" spans="11:14" ht="15.75" customHeight="1" x14ac:dyDescent="0.3">
      <c r="K94" s="8"/>
      <c r="L94" s="8"/>
      <c r="M94" s="8"/>
      <c r="N94" s="8"/>
    </row>
    <row r="95" spans="11:14" ht="15.75" customHeight="1" x14ac:dyDescent="0.3">
      <c r="K95" s="8"/>
      <c r="L95" s="8"/>
      <c r="M95" s="8"/>
      <c r="N95" s="8"/>
    </row>
    <row r="96" spans="11:14" ht="15.75" customHeight="1" x14ac:dyDescent="0.3">
      <c r="K96" s="8"/>
      <c r="L96" s="8"/>
      <c r="M96" s="8"/>
      <c r="N96" s="8"/>
    </row>
    <row r="97" spans="11:14" ht="15.75" customHeight="1" x14ac:dyDescent="0.3">
      <c r="K97" s="8"/>
      <c r="L97" s="8"/>
      <c r="M97" s="8"/>
      <c r="N97" s="8"/>
    </row>
    <row r="98" spans="11:14" ht="15.75" customHeight="1" x14ac:dyDescent="0.3">
      <c r="K98" s="8"/>
      <c r="L98" s="8"/>
      <c r="M98" s="8"/>
      <c r="N98" s="8"/>
    </row>
    <row r="99" spans="11:14" ht="15.75" customHeight="1" x14ac:dyDescent="0.3">
      <c r="K99" s="8"/>
      <c r="L99" s="8"/>
      <c r="M99" s="8"/>
      <c r="N99" s="8"/>
    </row>
    <row r="100" spans="11:14" ht="15.75" customHeight="1" x14ac:dyDescent="0.3">
      <c r="K100" s="8"/>
      <c r="L100" s="8"/>
      <c r="M100" s="8"/>
      <c r="N100" s="8"/>
    </row>
    <row r="101" spans="11:14" ht="15.75" customHeight="1" x14ac:dyDescent="0.3">
      <c r="K101" s="8"/>
      <c r="L101" s="8"/>
      <c r="M101" s="8"/>
      <c r="N101" s="8"/>
    </row>
    <row r="102" spans="11:14" ht="15.75" customHeight="1" x14ac:dyDescent="0.3">
      <c r="K102" s="8"/>
      <c r="L102" s="8"/>
      <c r="M102" s="8"/>
      <c r="N102" s="8"/>
    </row>
    <row r="103" spans="11:14" ht="15.75" customHeight="1" x14ac:dyDescent="0.3">
      <c r="K103" s="8"/>
      <c r="L103" s="8"/>
      <c r="M103" s="8"/>
      <c r="N103" s="8"/>
    </row>
    <row r="104" spans="11:14" ht="15.75" customHeight="1" x14ac:dyDescent="0.3">
      <c r="K104" s="8"/>
      <c r="L104" s="8"/>
      <c r="M104" s="8"/>
      <c r="N104" s="8"/>
    </row>
    <row r="105" spans="11:14" ht="15.75" customHeight="1" x14ac:dyDescent="0.3">
      <c r="K105" s="8"/>
      <c r="L105" s="8"/>
      <c r="M105" s="8"/>
      <c r="N105" s="8"/>
    </row>
    <row r="106" spans="11:14" ht="15.75" customHeight="1" x14ac:dyDescent="0.3">
      <c r="K106" s="8"/>
      <c r="L106" s="8"/>
      <c r="M106" s="8"/>
      <c r="N106" s="8"/>
    </row>
    <row r="107" spans="11:14" ht="15.75" customHeight="1" x14ac:dyDescent="0.3">
      <c r="K107" s="8"/>
      <c r="L107" s="8"/>
      <c r="M107" s="8"/>
      <c r="N107" s="8"/>
    </row>
    <row r="108" spans="11:14" ht="15.75" customHeight="1" x14ac:dyDescent="0.3">
      <c r="K108" s="8"/>
      <c r="L108" s="8"/>
      <c r="M108" s="8"/>
      <c r="N108" s="8"/>
    </row>
    <row r="109" spans="11:14" ht="15.75" customHeight="1" x14ac:dyDescent="0.3">
      <c r="K109" s="8"/>
      <c r="L109" s="8"/>
      <c r="M109" s="8"/>
      <c r="N109" s="8"/>
    </row>
    <row r="110" spans="11:14" ht="15.75" customHeight="1" x14ac:dyDescent="0.3">
      <c r="K110" s="8"/>
      <c r="L110" s="8"/>
      <c r="M110" s="8"/>
      <c r="N110" s="8"/>
    </row>
    <row r="111" spans="11:14" ht="15.75" customHeight="1" x14ac:dyDescent="0.3">
      <c r="K111" s="8"/>
      <c r="L111" s="8"/>
      <c r="M111" s="8"/>
      <c r="N111" s="8"/>
    </row>
    <row r="112" spans="11:14" ht="15.75" customHeight="1" x14ac:dyDescent="0.3">
      <c r="K112" s="8"/>
      <c r="L112" s="8"/>
      <c r="M112" s="8"/>
      <c r="N112" s="8"/>
    </row>
    <row r="113" spans="11:14" ht="15.75" customHeight="1" x14ac:dyDescent="0.3">
      <c r="K113" s="8"/>
      <c r="L113" s="8"/>
      <c r="M113" s="8"/>
      <c r="N113" s="8"/>
    </row>
    <row r="114" spans="11:14" ht="15.75" customHeight="1" x14ac:dyDescent="0.3">
      <c r="K114" s="8"/>
      <c r="L114" s="8"/>
      <c r="M114" s="8"/>
      <c r="N114" s="8"/>
    </row>
    <row r="115" spans="11:14" ht="15.75" customHeight="1" x14ac:dyDescent="0.3">
      <c r="K115" s="8"/>
      <c r="L115" s="8"/>
      <c r="M115" s="8"/>
      <c r="N115" s="8"/>
    </row>
    <row r="116" spans="11:14" ht="15.75" customHeight="1" x14ac:dyDescent="0.3">
      <c r="K116" s="8"/>
      <c r="L116" s="8"/>
      <c r="M116" s="8"/>
      <c r="N116" s="8"/>
    </row>
    <row r="117" spans="11:14" ht="15.75" customHeight="1" x14ac:dyDescent="0.3">
      <c r="K117" s="8"/>
      <c r="L117" s="8"/>
      <c r="M117" s="8"/>
      <c r="N117" s="8"/>
    </row>
    <row r="118" spans="11:14" ht="15.75" customHeight="1" x14ac:dyDescent="0.3">
      <c r="K118" s="8"/>
      <c r="L118" s="8"/>
      <c r="M118" s="8"/>
      <c r="N118" s="8"/>
    </row>
    <row r="119" spans="11:14" ht="15.75" customHeight="1" x14ac:dyDescent="0.3">
      <c r="K119" s="8"/>
      <c r="L119" s="8"/>
      <c r="M119" s="8"/>
      <c r="N119" s="8"/>
    </row>
    <row r="120" spans="11:14" ht="15.75" customHeight="1" x14ac:dyDescent="0.3">
      <c r="K120" s="8"/>
      <c r="L120" s="8"/>
      <c r="M120" s="8"/>
      <c r="N120" s="8"/>
    </row>
    <row r="121" spans="11:14" ht="15.75" customHeight="1" x14ac:dyDescent="0.3">
      <c r="K121" s="8"/>
      <c r="L121" s="8"/>
      <c r="M121" s="8"/>
      <c r="N121" s="8"/>
    </row>
    <row r="122" spans="11:14" ht="15.75" customHeight="1" x14ac:dyDescent="0.3">
      <c r="K122" s="8"/>
      <c r="L122" s="8"/>
      <c r="M122" s="8"/>
      <c r="N122" s="8"/>
    </row>
    <row r="123" spans="11:14" ht="15.75" customHeight="1" x14ac:dyDescent="0.3">
      <c r="K123" s="8"/>
      <c r="L123" s="8"/>
      <c r="M123" s="8"/>
      <c r="N123" s="8"/>
    </row>
    <row r="124" spans="11:14" ht="15.75" customHeight="1" x14ac:dyDescent="0.3">
      <c r="K124" s="8"/>
      <c r="L124" s="8"/>
      <c r="M124" s="8"/>
      <c r="N124" s="8"/>
    </row>
    <row r="125" spans="11:14" ht="15.75" customHeight="1" x14ac:dyDescent="0.3">
      <c r="K125" s="8"/>
      <c r="L125" s="8"/>
      <c r="M125" s="8"/>
      <c r="N125" s="8"/>
    </row>
    <row r="126" spans="11:14" ht="15.75" customHeight="1" x14ac:dyDescent="0.3">
      <c r="K126" s="8"/>
      <c r="L126" s="8"/>
      <c r="M126" s="8"/>
      <c r="N126" s="8"/>
    </row>
    <row r="127" spans="11:14" ht="15.75" customHeight="1" x14ac:dyDescent="0.3">
      <c r="K127" s="8"/>
      <c r="L127" s="8"/>
      <c r="M127" s="8"/>
      <c r="N127" s="8"/>
    </row>
    <row r="128" spans="11:14" ht="15.75" customHeight="1" x14ac:dyDescent="0.3">
      <c r="K128" s="8"/>
      <c r="L128" s="8"/>
      <c r="M128" s="8"/>
      <c r="N128" s="8"/>
    </row>
    <row r="129" spans="11:14" ht="15.75" customHeight="1" x14ac:dyDescent="0.3">
      <c r="K129" s="8"/>
      <c r="L129" s="8"/>
      <c r="M129" s="8"/>
      <c r="N129" s="8"/>
    </row>
    <row r="130" spans="11:14" ht="15.75" customHeight="1" x14ac:dyDescent="0.3">
      <c r="K130" s="8"/>
      <c r="L130" s="8"/>
      <c r="M130" s="8"/>
      <c r="N130" s="8"/>
    </row>
    <row r="131" spans="11:14" ht="15.75" customHeight="1" x14ac:dyDescent="0.3">
      <c r="K131" s="8"/>
      <c r="L131" s="8"/>
      <c r="M131" s="8"/>
      <c r="N131" s="8"/>
    </row>
    <row r="132" spans="11:14" ht="15.75" customHeight="1" x14ac:dyDescent="0.3">
      <c r="K132" s="8"/>
      <c r="L132" s="8"/>
      <c r="M132" s="8"/>
      <c r="N132" s="8"/>
    </row>
    <row r="133" spans="11:14" ht="15.75" customHeight="1" x14ac:dyDescent="0.3">
      <c r="K133" s="8"/>
      <c r="L133" s="8"/>
      <c r="M133" s="8"/>
      <c r="N133" s="8"/>
    </row>
    <row r="134" spans="11:14" ht="15.75" customHeight="1" x14ac:dyDescent="0.3">
      <c r="K134" s="8"/>
      <c r="L134" s="8"/>
      <c r="M134" s="8"/>
      <c r="N134" s="8"/>
    </row>
    <row r="135" spans="11:14" ht="15.75" customHeight="1" x14ac:dyDescent="0.3">
      <c r="K135" s="8"/>
      <c r="L135" s="8"/>
      <c r="M135" s="8"/>
      <c r="N135" s="8"/>
    </row>
    <row r="136" spans="11:14" ht="15.75" customHeight="1" x14ac:dyDescent="0.3">
      <c r="K136" s="8"/>
      <c r="L136" s="8"/>
      <c r="M136" s="8"/>
      <c r="N136" s="8"/>
    </row>
    <row r="137" spans="11:14" ht="15.75" customHeight="1" x14ac:dyDescent="0.3">
      <c r="K137" s="8"/>
      <c r="L137" s="8"/>
      <c r="M137" s="8"/>
      <c r="N137" s="8"/>
    </row>
    <row r="138" spans="11:14" ht="15.75" customHeight="1" x14ac:dyDescent="0.3">
      <c r="K138" s="8"/>
      <c r="L138" s="8"/>
      <c r="M138" s="8"/>
      <c r="N138" s="8"/>
    </row>
    <row r="139" spans="11:14" ht="15.75" customHeight="1" x14ac:dyDescent="0.3">
      <c r="K139" s="8"/>
      <c r="L139" s="8"/>
      <c r="M139" s="8"/>
      <c r="N139" s="8"/>
    </row>
    <row r="140" spans="11:14" ht="15.75" customHeight="1" x14ac:dyDescent="0.3">
      <c r="K140" s="8"/>
      <c r="L140" s="8"/>
      <c r="M140" s="8"/>
      <c r="N140" s="8"/>
    </row>
    <row r="141" spans="11:14" ht="15.75" customHeight="1" x14ac:dyDescent="0.3">
      <c r="K141" s="8"/>
      <c r="L141" s="8"/>
      <c r="M141" s="8"/>
      <c r="N141" s="8"/>
    </row>
    <row r="142" spans="11:14" ht="15.75" customHeight="1" x14ac:dyDescent="0.3">
      <c r="K142" s="8"/>
      <c r="L142" s="8"/>
      <c r="M142" s="8"/>
      <c r="N142" s="8"/>
    </row>
    <row r="143" spans="11:14" ht="15.75" customHeight="1" x14ac:dyDescent="0.3">
      <c r="K143" s="8"/>
      <c r="L143" s="8"/>
      <c r="M143" s="8"/>
      <c r="N143" s="8"/>
    </row>
    <row r="144" spans="11:14" ht="15.75" customHeight="1" x14ac:dyDescent="0.3">
      <c r="K144" s="8"/>
      <c r="L144" s="8"/>
      <c r="M144" s="8"/>
      <c r="N144" s="8"/>
    </row>
    <row r="145" spans="11:14" ht="15.75" customHeight="1" x14ac:dyDescent="0.3">
      <c r="K145" s="8"/>
      <c r="L145" s="8"/>
      <c r="M145" s="8"/>
      <c r="N145" s="8"/>
    </row>
    <row r="146" spans="11:14" ht="15.75" customHeight="1" x14ac:dyDescent="0.3">
      <c r="K146" s="8"/>
      <c r="L146" s="8"/>
      <c r="M146" s="8"/>
      <c r="N146" s="8"/>
    </row>
    <row r="147" spans="11:14" ht="15.75" customHeight="1" x14ac:dyDescent="0.3">
      <c r="K147" s="8"/>
      <c r="L147" s="8"/>
      <c r="M147" s="8"/>
      <c r="N147" s="8"/>
    </row>
    <row r="148" spans="11:14" ht="15.75" customHeight="1" x14ac:dyDescent="0.3">
      <c r="K148" s="8"/>
      <c r="L148" s="8"/>
      <c r="M148" s="8"/>
      <c r="N148" s="8"/>
    </row>
    <row r="149" spans="11:14" ht="15.75" customHeight="1" x14ac:dyDescent="0.3">
      <c r="K149" s="8"/>
      <c r="L149" s="8"/>
      <c r="M149" s="8"/>
      <c r="N149" s="8"/>
    </row>
    <row r="150" spans="11:14" ht="15.75" customHeight="1" x14ac:dyDescent="0.3">
      <c r="K150" s="8"/>
      <c r="L150" s="8"/>
      <c r="M150" s="8"/>
      <c r="N150" s="8"/>
    </row>
    <row r="151" spans="11:14" ht="15.75" customHeight="1" x14ac:dyDescent="0.3">
      <c r="K151" s="8"/>
      <c r="L151" s="8"/>
      <c r="M151" s="8"/>
      <c r="N151" s="8"/>
    </row>
    <row r="152" spans="11:14" ht="15.75" customHeight="1" x14ac:dyDescent="0.3">
      <c r="K152" s="8"/>
      <c r="L152" s="8"/>
      <c r="M152" s="8"/>
      <c r="N152" s="8"/>
    </row>
    <row r="153" spans="11:14" ht="15.75" customHeight="1" x14ac:dyDescent="0.3">
      <c r="K153" s="8"/>
      <c r="L153" s="8"/>
      <c r="M153" s="8"/>
      <c r="N153" s="8"/>
    </row>
    <row r="154" spans="11:14" ht="15.75" customHeight="1" x14ac:dyDescent="0.3">
      <c r="K154" s="8"/>
      <c r="L154" s="8"/>
      <c r="M154" s="8"/>
      <c r="N154" s="8"/>
    </row>
    <row r="155" spans="11:14" ht="15.75" customHeight="1" x14ac:dyDescent="0.3">
      <c r="K155" s="8"/>
      <c r="L155" s="8"/>
      <c r="M155" s="8"/>
      <c r="N155" s="8"/>
    </row>
    <row r="156" spans="11:14" ht="15.75" customHeight="1" x14ac:dyDescent="0.3">
      <c r="K156" s="8"/>
      <c r="L156" s="8"/>
      <c r="M156" s="8"/>
      <c r="N156" s="8"/>
    </row>
    <row r="157" spans="11:14" ht="15.75" customHeight="1" x14ac:dyDescent="0.3">
      <c r="K157" s="8"/>
      <c r="L157" s="8"/>
      <c r="M157" s="8"/>
      <c r="N157" s="8"/>
    </row>
    <row r="158" spans="11:14" ht="15.75" customHeight="1" x14ac:dyDescent="0.3">
      <c r="K158" s="8"/>
      <c r="L158" s="8"/>
      <c r="M158" s="8"/>
      <c r="N158" s="8"/>
    </row>
    <row r="159" spans="11:14" ht="15.75" customHeight="1" x14ac:dyDescent="0.3">
      <c r="K159" s="8"/>
      <c r="L159" s="8"/>
      <c r="M159" s="8"/>
      <c r="N159" s="8"/>
    </row>
    <row r="160" spans="11:14" ht="15.75" customHeight="1" x14ac:dyDescent="0.3">
      <c r="K160" s="8"/>
      <c r="L160" s="8"/>
      <c r="M160" s="8"/>
      <c r="N160" s="8"/>
    </row>
    <row r="161" spans="11:14" ht="15.75" customHeight="1" x14ac:dyDescent="0.3">
      <c r="K161" s="8"/>
      <c r="L161" s="8"/>
      <c r="M161" s="8"/>
      <c r="N161" s="8"/>
    </row>
    <row r="162" spans="11:14" ht="15.75" customHeight="1" x14ac:dyDescent="0.3">
      <c r="K162" s="8"/>
      <c r="L162" s="8"/>
      <c r="M162" s="8"/>
      <c r="N162" s="8"/>
    </row>
    <row r="163" spans="11:14" ht="15.75" customHeight="1" x14ac:dyDescent="0.3">
      <c r="K163" s="8"/>
      <c r="L163" s="8"/>
      <c r="M163" s="8"/>
      <c r="N163" s="8"/>
    </row>
    <row r="164" spans="11:14" ht="15.75" customHeight="1" x14ac:dyDescent="0.3">
      <c r="K164" s="8"/>
      <c r="L164" s="8"/>
      <c r="M164" s="8"/>
      <c r="N164" s="8"/>
    </row>
    <row r="165" spans="11:14" ht="15.75" customHeight="1" x14ac:dyDescent="0.3">
      <c r="K165" s="8"/>
      <c r="L165" s="8"/>
      <c r="M165" s="8"/>
      <c r="N165" s="8"/>
    </row>
    <row r="166" spans="11:14" ht="15.75" customHeight="1" x14ac:dyDescent="0.3">
      <c r="K166" s="8"/>
      <c r="L166" s="8"/>
      <c r="M166" s="8"/>
      <c r="N166" s="8"/>
    </row>
    <row r="167" spans="11:14" ht="15.75" customHeight="1" x14ac:dyDescent="0.3">
      <c r="K167" s="8"/>
      <c r="L167" s="8"/>
      <c r="M167" s="8"/>
      <c r="N167" s="8"/>
    </row>
    <row r="168" spans="11:14" ht="15.75" customHeight="1" x14ac:dyDescent="0.3">
      <c r="K168" s="8"/>
      <c r="L168" s="8"/>
      <c r="M168" s="8"/>
      <c r="N168" s="8"/>
    </row>
    <row r="169" spans="11:14" ht="15.75" customHeight="1" x14ac:dyDescent="0.3">
      <c r="K169" s="8"/>
      <c r="L169" s="8"/>
      <c r="M169" s="8"/>
      <c r="N169" s="8"/>
    </row>
    <row r="170" spans="11:14" ht="15.75" customHeight="1" x14ac:dyDescent="0.3">
      <c r="K170" s="8"/>
      <c r="L170" s="8"/>
      <c r="M170" s="8"/>
      <c r="N170" s="8"/>
    </row>
    <row r="171" spans="11:14" ht="15.75" customHeight="1" x14ac:dyDescent="0.3">
      <c r="K171" s="8"/>
      <c r="L171" s="8"/>
      <c r="M171" s="8"/>
      <c r="N171" s="8"/>
    </row>
    <row r="172" spans="11:14" ht="15.75" customHeight="1" x14ac:dyDescent="0.3">
      <c r="K172" s="8"/>
      <c r="L172" s="8"/>
      <c r="M172" s="8"/>
      <c r="N172" s="8"/>
    </row>
    <row r="173" spans="11:14" ht="15.75" customHeight="1" x14ac:dyDescent="0.3">
      <c r="K173" s="8"/>
      <c r="L173" s="8"/>
      <c r="M173" s="8"/>
      <c r="N173" s="8"/>
    </row>
    <row r="174" spans="11:14" ht="15.75" customHeight="1" x14ac:dyDescent="0.3">
      <c r="K174" s="8"/>
      <c r="L174" s="8"/>
      <c r="M174" s="8"/>
      <c r="N174" s="8"/>
    </row>
    <row r="175" spans="11:14" ht="15.75" customHeight="1" x14ac:dyDescent="0.3">
      <c r="K175" s="8"/>
      <c r="L175" s="8"/>
      <c r="M175" s="8"/>
      <c r="N175" s="8"/>
    </row>
    <row r="176" spans="11:14" ht="15.75" customHeight="1" x14ac:dyDescent="0.3">
      <c r="K176" s="8"/>
      <c r="L176" s="8"/>
      <c r="M176" s="8"/>
      <c r="N176" s="8"/>
    </row>
    <row r="177" spans="11:14" ht="15.75" customHeight="1" x14ac:dyDescent="0.3">
      <c r="K177" s="8"/>
      <c r="L177" s="8"/>
      <c r="M177" s="8"/>
      <c r="N177" s="8"/>
    </row>
    <row r="178" spans="11:14" ht="15.75" customHeight="1" x14ac:dyDescent="0.3">
      <c r="K178" s="8"/>
      <c r="L178" s="8"/>
      <c r="M178" s="8"/>
      <c r="N178" s="8"/>
    </row>
    <row r="179" spans="11:14" ht="15.75" customHeight="1" x14ac:dyDescent="0.3">
      <c r="K179" s="8"/>
      <c r="L179" s="8"/>
      <c r="M179" s="8"/>
      <c r="N179" s="8"/>
    </row>
    <row r="180" spans="11:14" ht="15.75" customHeight="1" x14ac:dyDescent="0.3">
      <c r="K180" s="8"/>
      <c r="L180" s="8"/>
      <c r="M180" s="8"/>
      <c r="N180" s="8"/>
    </row>
    <row r="181" spans="11:14" ht="15.75" customHeight="1" x14ac:dyDescent="0.3">
      <c r="K181" s="8"/>
      <c r="L181" s="8"/>
      <c r="M181" s="8"/>
      <c r="N181" s="8"/>
    </row>
    <row r="182" spans="11:14" ht="15.75" customHeight="1" x14ac:dyDescent="0.3">
      <c r="K182" s="8"/>
      <c r="L182" s="8"/>
      <c r="M182" s="8"/>
      <c r="N182" s="8"/>
    </row>
    <row r="183" spans="11:14" ht="15.75" customHeight="1" x14ac:dyDescent="0.3">
      <c r="K183" s="8"/>
      <c r="L183" s="8"/>
      <c r="M183" s="8"/>
      <c r="N183" s="8"/>
    </row>
    <row r="184" spans="11:14" ht="15.75" customHeight="1" x14ac:dyDescent="0.3">
      <c r="K184" s="8"/>
      <c r="L184" s="8"/>
      <c r="M184" s="8"/>
      <c r="N184" s="8"/>
    </row>
    <row r="185" spans="11:14" ht="15.75" customHeight="1" x14ac:dyDescent="0.3">
      <c r="K185" s="8"/>
      <c r="L185" s="8"/>
      <c r="M185" s="8"/>
      <c r="N185" s="8"/>
    </row>
    <row r="186" spans="11:14" ht="15.75" customHeight="1" x14ac:dyDescent="0.3">
      <c r="K186" s="8"/>
      <c r="L186" s="8"/>
      <c r="M186" s="8"/>
      <c r="N186" s="8"/>
    </row>
    <row r="187" spans="11:14" ht="15.75" customHeight="1" x14ac:dyDescent="0.3">
      <c r="K187" s="8"/>
      <c r="L187" s="8"/>
      <c r="M187" s="8"/>
      <c r="N187" s="8"/>
    </row>
    <row r="188" spans="11:14" ht="15.75" customHeight="1" x14ac:dyDescent="0.3">
      <c r="K188" s="8"/>
      <c r="L188" s="8"/>
      <c r="M188" s="8"/>
      <c r="N188" s="8"/>
    </row>
    <row r="189" spans="11:14" ht="15.75" customHeight="1" x14ac:dyDescent="0.3">
      <c r="K189" s="8"/>
      <c r="L189" s="8"/>
      <c r="M189" s="8"/>
      <c r="N189" s="8"/>
    </row>
    <row r="190" spans="11:14" ht="15.75" customHeight="1" x14ac:dyDescent="0.3">
      <c r="K190" s="8"/>
      <c r="L190" s="8"/>
      <c r="M190" s="8"/>
      <c r="N190" s="8"/>
    </row>
    <row r="191" spans="11:14" ht="15.75" customHeight="1" x14ac:dyDescent="0.3">
      <c r="K191" s="8"/>
      <c r="L191" s="8"/>
      <c r="M191" s="8"/>
      <c r="N191" s="8"/>
    </row>
    <row r="192" spans="11:14" ht="15.75" customHeight="1" x14ac:dyDescent="0.3">
      <c r="K192" s="8"/>
      <c r="L192" s="8"/>
      <c r="M192" s="8"/>
      <c r="N192" s="8"/>
    </row>
    <row r="193" spans="11:14" ht="15.75" customHeight="1" x14ac:dyDescent="0.3">
      <c r="K193" s="8"/>
      <c r="L193" s="8"/>
      <c r="M193" s="8"/>
      <c r="N193" s="8"/>
    </row>
    <row r="194" spans="11:14" ht="15.75" customHeight="1" x14ac:dyDescent="0.3">
      <c r="K194" s="8"/>
      <c r="L194" s="8"/>
      <c r="M194" s="8"/>
      <c r="N194" s="8"/>
    </row>
    <row r="195" spans="11:14" ht="15.75" customHeight="1" x14ac:dyDescent="0.3">
      <c r="K195" s="8"/>
      <c r="L195" s="8"/>
      <c r="M195" s="8"/>
      <c r="N195" s="8"/>
    </row>
    <row r="196" spans="11:14" ht="15.75" customHeight="1" x14ac:dyDescent="0.3">
      <c r="K196" s="8"/>
      <c r="L196" s="8"/>
      <c r="M196" s="8"/>
      <c r="N196" s="8"/>
    </row>
    <row r="197" spans="11:14" ht="15.75" customHeight="1" x14ac:dyDescent="0.3">
      <c r="K197" s="8"/>
      <c r="L197" s="8"/>
      <c r="M197" s="8"/>
      <c r="N197" s="8"/>
    </row>
    <row r="198" spans="11:14" ht="15.75" customHeight="1" x14ac:dyDescent="0.3">
      <c r="K198" s="8"/>
      <c r="L198" s="8"/>
      <c r="M198" s="8"/>
      <c r="N198" s="8"/>
    </row>
    <row r="199" spans="11:14" ht="15.75" customHeight="1" x14ac:dyDescent="0.3">
      <c r="K199" s="8"/>
      <c r="L199" s="8"/>
      <c r="M199" s="8"/>
      <c r="N199" s="8"/>
    </row>
    <row r="200" spans="11:14" ht="15.75" customHeight="1" x14ac:dyDescent="0.3">
      <c r="K200" s="8"/>
      <c r="L200" s="8"/>
      <c r="M200" s="8"/>
      <c r="N200" s="8"/>
    </row>
    <row r="201" spans="11:14" ht="15.75" customHeight="1" x14ac:dyDescent="0.3">
      <c r="K201" s="8"/>
      <c r="L201" s="8"/>
      <c r="M201" s="8"/>
      <c r="N201" s="8"/>
    </row>
    <row r="202" spans="11:14" ht="15.75" customHeight="1" x14ac:dyDescent="0.3">
      <c r="K202" s="8"/>
      <c r="L202" s="8"/>
      <c r="M202" s="8"/>
      <c r="N202" s="8"/>
    </row>
    <row r="203" spans="11:14" ht="15.75" customHeight="1" x14ac:dyDescent="0.3">
      <c r="K203" s="8"/>
      <c r="L203" s="8"/>
      <c r="M203" s="8"/>
      <c r="N203" s="8"/>
    </row>
    <row r="204" spans="11:14" ht="15.75" customHeight="1" x14ac:dyDescent="0.3">
      <c r="K204" s="8"/>
      <c r="L204" s="8"/>
      <c r="M204" s="8"/>
      <c r="N204" s="8"/>
    </row>
    <row r="205" spans="11:14" ht="15.75" customHeight="1" x14ac:dyDescent="0.3">
      <c r="K205" s="8"/>
      <c r="L205" s="8"/>
      <c r="M205" s="8"/>
      <c r="N205" s="8"/>
    </row>
    <row r="206" spans="11:14" ht="15.75" customHeight="1" x14ac:dyDescent="0.3">
      <c r="K206" s="8"/>
      <c r="L206" s="8"/>
      <c r="M206" s="8"/>
      <c r="N206" s="8"/>
    </row>
    <row r="207" spans="11:14" ht="15.75" customHeight="1" x14ac:dyDescent="0.3">
      <c r="K207" s="8"/>
      <c r="L207" s="8"/>
      <c r="M207" s="8"/>
      <c r="N207" s="8"/>
    </row>
    <row r="208" spans="11:14" ht="15.75" customHeight="1" x14ac:dyDescent="0.3">
      <c r="K208" s="8"/>
      <c r="L208" s="8"/>
      <c r="M208" s="8"/>
      <c r="N208" s="8"/>
    </row>
    <row r="209" spans="11:14" ht="15.75" customHeight="1" x14ac:dyDescent="0.3">
      <c r="K209" s="8"/>
      <c r="L209" s="8"/>
      <c r="M209" s="8"/>
      <c r="N209" s="8"/>
    </row>
    <row r="210" spans="11:14" ht="15.75" customHeight="1" x14ac:dyDescent="0.3">
      <c r="K210" s="8"/>
      <c r="L210" s="8"/>
      <c r="M210" s="8"/>
      <c r="N210" s="8"/>
    </row>
    <row r="211" spans="11:14" ht="15.75" customHeight="1" x14ac:dyDescent="0.3">
      <c r="K211" s="8"/>
      <c r="L211" s="8"/>
      <c r="M211" s="8"/>
      <c r="N211" s="8"/>
    </row>
    <row r="212" spans="11:14" ht="15.75" customHeight="1" x14ac:dyDescent="0.3">
      <c r="K212" s="8"/>
      <c r="L212" s="8"/>
      <c r="M212" s="8"/>
      <c r="N212" s="8"/>
    </row>
    <row r="213" spans="11:14" ht="15.75" customHeight="1" x14ac:dyDescent="0.3">
      <c r="K213" s="8"/>
      <c r="L213" s="8"/>
      <c r="M213" s="8"/>
      <c r="N213" s="8"/>
    </row>
    <row r="214" spans="11:14" ht="15.75" customHeight="1" x14ac:dyDescent="0.3">
      <c r="K214" s="8"/>
      <c r="L214" s="8"/>
      <c r="M214" s="8"/>
      <c r="N214" s="8"/>
    </row>
    <row r="215" spans="11:14" ht="15.75" customHeight="1" x14ac:dyDescent="0.3">
      <c r="K215" s="8"/>
      <c r="L215" s="8"/>
      <c r="M215" s="8"/>
      <c r="N215" s="8"/>
    </row>
    <row r="216" spans="11:14" ht="15.75" customHeight="1" x14ac:dyDescent="0.3">
      <c r="K216" s="8"/>
      <c r="L216" s="8"/>
      <c r="M216" s="8"/>
      <c r="N216" s="8"/>
    </row>
    <row r="217" spans="11:14" ht="15.75" customHeight="1" x14ac:dyDescent="0.3">
      <c r="K217" s="8"/>
      <c r="L217" s="8"/>
      <c r="M217" s="8"/>
      <c r="N217" s="8"/>
    </row>
    <row r="218" spans="11:14" ht="15.75" customHeight="1" x14ac:dyDescent="0.3">
      <c r="K218" s="8"/>
      <c r="L218" s="8"/>
      <c r="M218" s="8"/>
      <c r="N218" s="8"/>
    </row>
    <row r="219" spans="11:14" ht="15.75" customHeight="1" x14ac:dyDescent="0.3">
      <c r="K219" s="8"/>
      <c r="L219" s="8"/>
      <c r="M219" s="8"/>
      <c r="N219" s="8"/>
    </row>
    <row r="220" spans="11:14" ht="15.75" customHeight="1" x14ac:dyDescent="0.3">
      <c r="K220" s="8"/>
      <c r="L220" s="8"/>
      <c r="M220" s="8"/>
      <c r="N220" s="8"/>
    </row>
    <row r="221" spans="11:14" ht="15.75" customHeight="1" x14ac:dyDescent="0.3">
      <c r="K221" s="8"/>
      <c r="L221" s="8"/>
      <c r="M221" s="8"/>
      <c r="N221" s="8"/>
    </row>
    <row r="222" spans="11:14" ht="15.75" customHeight="1" x14ac:dyDescent="0.3">
      <c r="K222" s="8"/>
      <c r="L222" s="8"/>
      <c r="M222" s="8"/>
      <c r="N222" s="8"/>
    </row>
    <row r="223" spans="11:14" ht="15.75" customHeight="1" x14ac:dyDescent="0.3">
      <c r="K223" s="8"/>
      <c r="L223" s="8"/>
      <c r="M223" s="8"/>
      <c r="N223" s="8"/>
    </row>
    <row r="224" spans="11:14" ht="15.75" customHeight="1" x14ac:dyDescent="0.3">
      <c r="K224" s="8"/>
      <c r="L224" s="8"/>
      <c r="M224" s="8"/>
      <c r="N224" s="8"/>
    </row>
    <row r="225" spans="11:14" ht="15.75" customHeight="1" x14ac:dyDescent="0.3">
      <c r="K225" s="8"/>
      <c r="L225" s="8"/>
      <c r="M225" s="8"/>
      <c r="N225" s="8"/>
    </row>
    <row r="226" spans="11:14" ht="15.75" customHeight="1" x14ac:dyDescent="0.3">
      <c r="K226" s="8"/>
      <c r="L226" s="8"/>
      <c r="M226" s="8"/>
      <c r="N226" s="8"/>
    </row>
    <row r="227" spans="11:14" ht="15.75" customHeight="1" x14ac:dyDescent="0.3">
      <c r="K227" s="8"/>
      <c r="L227" s="8"/>
      <c r="M227" s="8"/>
      <c r="N227" s="8"/>
    </row>
    <row r="228" spans="11:14" ht="15.75" customHeight="1" x14ac:dyDescent="0.3">
      <c r="K228" s="8"/>
      <c r="L228" s="8"/>
      <c r="M228" s="8"/>
      <c r="N228" s="8"/>
    </row>
    <row r="229" spans="11:14" ht="15.75" customHeight="1" x14ac:dyDescent="0.3">
      <c r="K229" s="8"/>
      <c r="L229" s="8"/>
      <c r="M229" s="8"/>
      <c r="N229" s="8"/>
    </row>
    <row r="230" spans="11:14" ht="15.75" customHeight="1" x14ac:dyDescent="0.3">
      <c r="K230" s="8"/>
      <c r="L230" s="8"/>
      <c r="M230" s="8"/>
      <c r="N230" s="8"/>
    </row>
    <row r="231" spans="11:14" ht="15.75" customHeight="1" x14ac:dyDescent="0.3">
      <c r="K231" s="8"/>
      <c r="L231" s="8"/>
      <c r="M231" s="8"/>
      <c r="N231" s="8"/>
    </row>
    <row r="232" spans="11:14" ht="15.75" customHeight="1" x14ac:dyDescent="0.3">
      <c r="K232" s="8"/>
      <c r="L232" s="8"/>
      <c r="M232" s="8"/>
      <c r="N232" s="8"/>
    </row>
    <row r="233" spans="11:14" ht="15.75" customHeight="1" x14ac:dyDescent="0.3">
      <c r="K233" s="8"/>
      <c r="L233" s="8"/>
      <c r="M233" s="8"/>
      <c r="N233" s="8"/>
    </row>
    <row r="234" spans="11:14" ht="15.75" customHeight="1" x14ac:dyDescent="0.3">
      <c r="K234" s="8"/>
      <c r="L234" s="8"/>
      <c r="M234" s="8"/>
      <c r="N234" s="8"/>
    </row>
    <row r="235" spans="11:14" ht="15.75" customHeight="1" x14ac:dyDescent="0.3">
      <c r="K235" s="8"/>
      <c r="L235" s="8"/>
      <c r="M235" s="8"/>
      <c r="N235" s="8"/>
    </row>
    <row r="236" spans="11:14" ht="15.75" customHeight="1" x14ac:dyDescent="0.3">
      <c r="K236" s="8"/>
      <c r="L236" s="8"/>
      <c r="M236" s="8"/>
      <c r="N236" s="8"/>
    </row>
    <row r="237" spans="11:14" ht="15.75" customHeight="1" x14ac:dyDescent="0.3">
      <c r="K237" s="8"/>
      <c r="L237" s="8"/>
      <c r="M237" s="8"/>
      <c r="N237" s="8"/>
    </row>
    <row r="238" spans="11:14" ht="15.75" customHeight="1" x14ac:dyDescent="0.3">
      <c r="K238" s="8"/>
      <c r="L238" s="8"/>
      <c r="M238" s="8"/>
      <c r="N238" s="8"/>
    </row>
    <row r="239" spans="11:14" ht="15.75" customHeight="1" x14ac:dyDescent="0.3">
      <c r="K239" s="8"/>
      <c r="L239" s="8"/>
      <c r="M239" s="8"/>
      <c r="N239" s="8"/>
    </row>
    <row r="240" spans="11:14" ht="15.75" customHeight="1" x14ac:dyDescent="0.3">
      <c r="K240" s="8"/>
      <c r="L240" s="8"/>
      <c r="M240" s="8"/>
      <c r="N240" s="8"/>
    </row>
    <row r="241" spans="11:14" ht="15.75" customHeight="1" x14ac:dyDescent="0.3">
      <c r="K241" s="8"/>
      <c r="L241" s="8"/>
      <c r="M241" s="8"/>
      <c r="N241" s="8"/>
    </row>
    <row r="242" spans="11:14" ht="15.75" customHeight="1" x14ac:dyDescent="0.3">
      <c r="K242" s="8"/>
      <c r="L242" s="8"/>
      <c r="M242" s="8"/>
      <c r="N242" s="8"/>
    </row>
    <row r="243" spans="11:14" ht="15.75" customHeight="1" x14ac:dyDescent="0.3">
      <c r="K243" s="8"/>
      <c r="L243" s="8"/>
      <c r="M243" s="8"/>
      <c r="N243" s="8"/>
    </row>
    <row r="244" spans="11:14" ht="15.75" customHeight="1" x14ac:dyDescent="0.3">
      <c r="K244" s="8"/>
      <c r="L244" s="8"/>
      <c r="M244" s="8"/>
      <c r="N244" s="8"/>
    </row>
    <row r="245" spans="11:14" ht="15.75" customHeight="1" x14ac:dyDescent="0.3">
      <c r="K245" s="8"/>
      <c r="L245" s="8"/>
      <c r="M245" s="8"/>
      <c r="N245" s="8"/>
    </row>
    <row r="246" spans="11:14" ht="15.75" customHeight="1" x14ac:dyDescent="0.3">
      <c r="K246" s="8"/>
      <c r="L246" s="8"/>
      <c r="M246" s="8"/>
      <c r="N246" s="8"/>
    </row>
    <row r="247" spans="11:14" ht="15.75" customHeight="1" x14ac:dyDescent="0.3">
      <c r="K247" s="8"/>
      <c r="L247" s="8"/>
      <c r="M247" s="8"/>
      <c r="N247" s="8"/>
    </row>
    <row r="248" spans="11:14" ht="15.75" customHeight="1" x14ac:dyDescent="0.3">
      <c r="K248" s="8"/>
      <c r="L248" s="8"/>
      <c r="M248" s="8"/>
      <c r="N248" s="8"/>
    </row>
    <row r="249" spans="11:14" ht="15.75" customHeight="1" x14ac:dyDescent="0.3">
      <c r="K249" s="8"/>
      <c r="L249" s="8"/>
      <c r="M249" s="8"/>
      <c r="N249" s="8"/>
    </row>
    <row r="250" spans="11:14" ht="15.75" customHeight="1" x14ac:dyDescent="0.3">
      <c r="K250" s="8"/>
      <c r="L250" s="8"/>
      <c r="M250" s="8"/>
      <c r="N250" s="8"/>
    </row>
    <row r="251" spans="11:14" ht="15.75" customHeight="1" x14ac:dyDescent="0.3">
      <c r="K251" s="8"/>
      <c r="L251" s="8"/>
      <c r="M251" s="8"/>
      <c r="N251" s="8"/>
    </row>
    <row r="252" spans="11:14" ht="15.75" customHeight="1" x14ac:dyDescent="0.3">
      <c r="K252" s="8"/>
      <c r="L252" s="8"/>
      <c r="M252" s="8"/>
      <c r="N252" s="8"/>
    </row>
    <row r="253" spans="11:14" ht="15.75" customHeight="1" x14ac:dyDescent="0.3">
      <c r="K253" s="8"/>
      <c r="L253" s="8"/>
      <c r="M253" s="8"/>
      <c r="N253" s="8"/>
    </row>
    <row r="254" spans="11:14" ht="15.75" customHeight="1" x14ac:dyDescent="0.3">
      <c r="K254" s="8"/>
      <c r="L254" s="8"/>
      <c r="M254" s="8"/>
      <c r="N254" s="8"/>
    </row>
    <row r="255" spans="11:14" ht="15.75" customHeight="1" x14ac:dyDescent="0.3">
      <c r="K255" s="8"/>
      <c r="L255" s="8"/>
      <c r="M255" s="8"/>
      <c r="N255" s="8"/>
    </row>
    <row r="256" spans="11:14" ht="15.75" customHeight="1" x14ac:dyDescent="0.3">
      <c r="K256" s="8"/>
      <c r="L256" s="8"/>
      <c r="M256" s="8"/>
      <c r="N256" s="8"/>
    </row>
    <row r="257" spans="11:14" ht="15.75" customHeight="1" x14ac:dyDescent="0.3">
      <c r="K257" s="8"/>
      <c r="L257" s="8"/>
      <c r="M257" s="8"/>
      <c r="N257" s="8"/>
    </row>
    <row r="258" spans="11:14" ht="15.75" customHeight="1" x14ac:dyDescent="0.3">
      <c r="K258" s="8"/>
      <c r="L258" s="8"/>
      <c r="M258" s="8"/>
      <c r="N258" s="8"/>
    </row>
    <row r="259" spans="11:14" ht="15.75" customHeight="1" x14ac:dyDescent="0.3">
      <c r="K259" s="8"/>
      <c r="L259" s="8"/>
      <c r="M259" s="8"/>
      <c r="N259" s="8"/>
    </row>
    <row r="260" spans="11:14" ht="15.75" customHeight="1" x14ac:dyDescent="0.3">
      <c r="K260" s="8"/>
      <c r="L260" s="8"/>
      <c r="M260" s="8"/>
      <c r="N260" s="8"/>
    </row>
    <row r="261" spans="11:14" ht="15.75" customHeight="1" x14ac:dyDescent="0.3">
      <c r="K261" s="8"/>
      <c r="L261" s="8"/>
      <c r="M261" s="8"/>
      <c r="N261" s="8"/>
    </row>
    <row r="262" spans="11:14" ht="15.75" customHeight="1" x14ac:dyDescent="0.3">
      <c r="K262" s="8"/>
      <c r="L262" s="8"/>
      <c r="M262" s="8"/>
      <c r="N262" s="8"/>
    </row>
    <row r="263" spans="11:14" ht="15.75" customHeight="1" x14ac:dyDescent="0.3">
      <c r="K263" s="8"/>
      <c r="L263" s="8"/>
      <c r="M263" s="8"/>
      <c r="N263" s="8"/>
    </row>
    <row r="264" spans="11:14" ht="15.75" customHeight="1" x14ac:dyDescent="0.3">
      <c r="K264" s="8"/>
      <c r="L264" s="8"/>
      <c r="M264" s="8"/>
      <c r="N264" s="8"/>
    </row>
    <row r="265" spans="11:14" ht="15.75" customHeight="1" x14ac:dyDescent="0.3">
      <c r="K265" s="8"/>
      <c r="L265" s="8"/>
      <c r="M265" s="8"/>
      <c r="N265" s="8"/>
    </row>
    <row r="266" spans="11:14" ht="15.75" customHeight="1" x14ac:dyDescent="0.3">
      <c r="K266" s="8"/>
      <c r="L266" s="8"/>
      <c r="M266" s="8"/>
      <c r="N266" s="8"/>
    </row>
    <row r="267" spans="11:14" ht="15.75" customHeight="1" x14ac:dyDescent="0.3">
      <c r="K267" s="8"/>
      <c r="L267" s="8"/>
      <c r="M267" s="8"/>
      <c r="N267" s="8"/>
    </row>
    <row r="268" spans="11:14" ht="15.75" customHeight="1" x14ac:dyDescent="0.3">
      <c r="K268" s="8"/>
      <c r="L268" s="8"/>
      <c r="M268" s="8"/>
      <c r="N268" s="8"/>
    </row>
    <row r="269" spans="11:14" ht="15.75" customHeight="1" x14ac:dyDescent="0.3">
      <c r="K269" s="8"/>
      <c r="L269" s="8"/>
      <c r="M269" s="8"/>
      <c r="N269" s="8"/>
    </row>
    <row r="270" spans="11:14" ht="15.75" customHeight="1" x14ac:dyDescent="0.3">
      <c r="K270" s="8"/>
      <c r="L270" s="8"/>
      <c r="M270" s="8"/>
      <c r="N270" s="8"/>
    </row>
    <row r="271" spans="11:14" ht="15.75" customHeight="1" x14ac:dyDescent="0.3">
      <c r="K271" s="8"/>
      <c r="L271" s="8"/>
      <c r="M271" s="8"/>
      <c r="N271" s="8"/>
    </row>
    <row r="272" spans="11:14" ht="15.75" customHeight="1" x14ac:dyDescent="0.3">
      <c r="K272" s="8"/>
      <c r="L272" s="8"/>
      <c r="M272" s="8"/>
      <c r="N272" s="8"/>
    </row>
    <row r="273" spans="11:14" ht="15.75" customHeight="1" x14ac:dyDescent="0.3">
      <c r="K273" s="8"/>
      <c r="L273" s="8"/>
      <c r="M273" s="8"/>
      <c r="N273" s="8"/>
    </row>
    <row r="274" spans="11:14" ht="15.75" customHeight="1" x14ac:dyDescent="0.3">
      <c r="K274" s="8"/>
      <c r="L274" s="8"/>
      <c r="M274" s="8"/>
      <c r="N274" s="8"/>
    </row>
    <row r="275" spans="11:14" ht="15.75" customHeight="1" x14ac:dyDescent="0.3">
      <c r="K275" s="8"/>
      <c r="L275" s="8"/>
      <c r="M275" s="8"/>
      <c r="N275" s="8"/>
    </row>
    <row r="276" spans="11:14" ht="15.75" customHeight="1" x14ac:dyDescent="0.3">
      <c r="K276" s="8"/>
      <c r="L276" s="8"/>
      <c r="M276" s="8"/>
      <c r="N276" s="8"/>
    </row>
    <row r="277" spans="11:14" ht="15.75" customHeight="1" x14ac:dyDescent="0.3">
      <c r="K277" s="8"/>
      <c r="L277" s="8"/>
      <c r="M277" s="8"/>
      <c r="N277" s="8"/>
    </row>
    <row r="278" spans="11:14" ht="15.75" customHeight="1" x14ac:dyDescent="0.3">
      <c r="K278" s="8"/>
      <c r="L278" s="8"/>
      <c r="M278" s="8"/>
      <c r="N278" s="8"/>
    </row>
    <row r="279" spans="11:14" ht="15.75" customHeight="1" x14ac:dyDescent="0.3">
      <c r="K279" s="8"/>
      <c r="L279" s="8"/>
      <c r="M279" s="8"/>
      <c r="N279" s="8"/>
    </row>
    <row r="280" spans="11:14" ht="15.75" customHeight="1" x14ac:dyDescent="0.3">
      <c r="K280" s="8"/>
      <c r="L280" s="8"/>
      <c r="M280" s="8"/>
      <c r="N280" s="8"/>
    </row>
    <row r="281" spans="11:14" ht="15.75" customHeight="1" x14ac:dyDescent="0.3">
      <c r="K281" s="8"/>
      <c r="L281" s="8"/>
      <c r="M281" s="8"/>
      <c r="N281" s="8"/>
    </row>
    <row r="282" spans="11:14" ht="15.75" customHeight="1" x14ac:dyDescent="0.3">
      <c r="K282" s="8"/>
      <c r="L282" s="8"/>
      <c r="M282" s="8"/>
      <c r="N282" s="8"/>
    </row>
    <row r="283" spans="11:14" ht="15.75" customHeight="1" x14ac:dyDescent="0.3">
      <c r="K283" s="8"/>
      <c r="L283" s="8"/>
      <c r="M283" s="8"/>
      <c r="N283" s="8"/>
    </row>
    <row r="284" spans="11:14" ht="15.75" customHeight="1" x14ac:dyDescent="0.3">
      <c r="K284" s="8"/>
      <c r="L284" s="8"/>
      <c r="M284" s="8"/>
      <c r="N284" s="8"/>
    </row>
    <row r="285" spans="11:14" ht="15.75" customHeight="1" x14ac:dyDescent="0.3">
      <c r="K285" s="8"/>
      <c r="L285" s="8"/>
      <c r="M285" s="8"/>
      <c r="N285" s="8"/>
    </row>
    <row r="286" spans="11:14" ht="15.75" customHeight="1" x14ac:dyDescent="0.3">
      <c r="K286" s="8"/>
      <c r="L286" s="8"/>
      <c r="M286" s="8"/>
      <c r="N286" s="8"/>
    </row>
    <row r="287" spans="11:14" ht="15.75" customHeight="1" x14ac:dyDescent="0.3">
      <c r="K287" s="8"/>
      <c r="L287" s="8"/>
      <c r="M287" s="8"/>
      <c r="N287" s="8"/>
    </row>
    <row r="288" spans="11:14" ht="15.75" customHeight="1" x14ac:dyDescent="0.3">
      <c r="K288" s="8"/>
      <c r="L288" s="8"/>
      <c r="M288" s="8"/>
      <c r="N288" s="8"/>
    </row>
    <row r="289" spans="11:14" ht="15.75" customHeight="1" x14ac:dyDescent="0.3">
      <c r="K289" s="8"/>
      <c r="L289" s="8"/>
      <c r="M289" s="8"/>
      <c r="N289" s="8"/>
    </row>
    <row r="290" spans="11:14" ht="15.75" customHeight="1" x14ac:dyDescent="0.3">
      <c r="K290" s="8"/>
      <c r="L290" s="8"/>
      <c r="M290" s="8"/>
      <c r="N290" s="8"/>
    </row>
    <row r="291" spans="11:14" ht="15.75" customHeight="1" x14ac:dyDescent="0.3">
      <c r="K291" s="8"/>
      <c r="L291" s="8"/>
      <c r="M291" s="8"/>
      <c r="N291" s="8"/>
    </row>
    <row r="292" spans="11:14" ht="15.75" customHeight="1" x14ac:dyDescent="0.3">
      <c r="K292" s="8"/>
      <c r="L292" s="8"/>
      <c r="M292" s="8"/>
      <c r="N292" s="8"/>
    </row>
    <row r="293" spans="11:14" ht="15.75" customHeight="1" x14ac:dyDescent="0.3">
      <c r="K293" s="8"/>
      <c r="L293" s="8"/>
      <c r="M293" s="8"/>
      <c r="N293" s="8"/>
    </row>
    <row r="294" spans="11:14" ht="15.75" customHeight="1" x14ac:dyDescent="0.3">
      <c r="K294" s="8"/>
      <c r="L294" s="8"/>
      <c r="M294" s="8"/>
      <c r="N294" s="8"/>
    </row>
    <row r="295" spans="11:14" ht="15.75" customHeight="1" x14ac:dyDescent="0.3">
      <c r="K295" s="8"/>
      <c r="L295" s="8"/>
      <c r="M295" s="8"/>
      <c r="N295" s="8"/>
    </row>
    <row r="296" spans="11:14" ht="15.75" customHeight="1" x14ac:dyDescent="0.3">
      <c r="K296" s="8"/>
      <c r="L296" s="8"/>
      <c r="M296" s="8"/>
      <c r="N296" s="8"/>
    </row>
    <row r="297" spans="11:14" ht="15.75" customHeight="1" x14ac:dyDescent="0.3">
      <c r="K297" s="8"/>
      <c r="L297" s="8"/>
      <c r="M297" s="8"/>
      <c r="N297" s="8"/>
    </row>
    <row r="298" spans="11:14" ht="15.75" customHeight="1" x14ac:dyDescent="0.3">
      <c r="K298" s="8"/>
      <c r="L298" s="8"/>
      <c r="M298" s="8"/>
      <c r="N298" s="8"/>
    </row>
    <row r="299" spans="11:14" ht="15.75" customHeight="1" x14ac:dyDescent="0.3">
      <c r="K299" s="8"/>
      <c r="L299" s="8"/>
      <c r="M299" s="8"/>
      <c r="N299" s="8"/>
    </row>
    <row r="300" spans="11:14" ht="15.75" customHeight="1" x14ac:dyDescent="0.3">
      <c r="K300" s="8"/>
      <c r="L300" s="8"/>
      <c r="M300" s="8"/>
      <c r="N300" s="8"/>
    </row>
    <row r="301" spans="11:14" ht="15.75" customHeight="1" x14ac:dyDescent="0.3">
      <c r="K301" s="8"/>
      <c r="L301" s="8"/>
      <c r="M301" s="8"/>
      <c r="N301" s="8"/>
    </row>
    <row r="302" spans="11:14" ht="15.75" customHeight="1" x14ac:dyDescent="0.3">
      <c r="K302" s="8"/>
      <c r="L302" s="8"/>
      <c r="M302" s="8"/>
      <c r="N302" s="8"/>
    </row>
    <row r="303" spans="11:14" ht="15.75" customHeight="1" x14ac:dyDescent="0.3">
      <c r="K303" s="8"/>
      <c r="L303" s="8"/>
      <c r="M303" s="8"/>
      <c r="N303" s="8"/>
    </row>
    <row r="304" spans="11:14" ht="15.75" customHeight="1" x14ac:dyDescent="0.3">
      <c r="K304" s="8"/>
      <c r="L304" s="8"/>
      <c r="M304" s="8"/>
      <c r="N304" s="8"/>
    </row>
    <row r="305" spans="11:14" ht="15.75" customHeight="1" x14ac:dyDescent="0.3">
      <c r="K305" s="8"/>
      <c r="L305" s="8"/>
      <c r="M305" s="8"/>
      <c r="N305" s="8"/>
    </row>
    <row r="306" spans="11:14" ht="15.75" customHeight="1" x14ac:dyDescent="0.3">
      <c r="K306" s="8"/>
      <c r="L306" s="8"/>
      <c r="M306" s="8"/>
      <c r="N306" s="8"/>
    </row>
    <row r="307" spans="11:14" ht="15.75" customHeight="1" x14ac:dyDescent="0.3">
      <c r="K307" s="8"/>
      <c r="L307" s="8"/>
      <c r="M307" s="8"/>
      <c r="N307" s="8"/>
    </row>
    <row r="308" spans="11:14" ht="15.75" customHeight="1" x14ac:dyDescent="0.3">
      <c r="K308" s="8"/>
      <c r="L308" s="8"/>
      <c r="M308" s="8"/>
      <c r="N308" s="8"/>
    </row>
    <row r="309" spans="11:14" ht="15.75" customHeight="1" x14ac:dyDescent="0.3">
      <c r="K309" s="8"/>
      <c r="L309" s="8"/>
      <c r="M309" s="8"/>
      <c r="N309" s="8"/>
    </row>
    <row r="310" spans="11:14" ht="15.75" customHeight="1" x14ac:dyDescent="0.3">
      <c r="K310" s="8"/>
      <c r="L310" s="8"/>
      <c r="M310" s="8"/>
      <c r="N310" s="8"/>
    </row>
    <row r="311" spans="11:14" ht="15.75" customHeight="1" x14ac:dyDescent="0.3">
      <c r="K311" s="8"/>
      <c r="L311" s="8"/>
      <c r="M311" s="8"/>
      <c r="N311" s="8"/>
    </row>
    <row r="312" spans="11:14" ht="15.75" customHeight="1" x14ac:dyDescent="0.3">
      <c r="K312" s="8"/>
      <c r="L312" s="8"/>
      <c r="M312" s="8"/>
      <c r="N312" s="8"/>
    </row>
    <row r="313" spans="11:14" ht="15.75" customHeight="1" x14ac:dyDescent="0.3">
      <c r="K313" s="8"/>
      <c r="L313" s="8"/>
      <c r="M313" s="8"/>
      <c r="N313" s="8"/>
    </row>
    <row r="314" spans="11:14" ht="15.75" customHeight="1" x14ac:dyDescent="0.3">
      <c r="K314" s="8"/>
      <c r="L314" s="8"/>
      <c r="M314" s="8"/>
      <c r="N314" s="8"/>
    </row>
    <row r="315" spans="11:14" ht="15.75" customHeight="1" x14ac:dyDescent="0.3">
      <c r="K315" s="8"/>
      <c r="L315" s="8"/>
      <c r="M315" s="8"/>
      <c r="N315" s="8"/>
    </row>
    <row r="316" spans="11:14" ht="15.75" customHeight="1" x14ac:dyDescent="0.3">
      <c r="K316" s="8"/>
      <c r="L316" s="8"/>
      <c r="M316" s="8"/>
      <c r="N316" s="8"/>
    </row>
    <row r="317" spans="11:14" ht="15.75" customHeight="1" x14ac:dyDescent="0.3">
      <c r="K317" s="8"/>
      <c r="L317" s="8"/>
      <c r="M317" s="8"/>
      <c r="N317" s="8"/>
    </row>
    <row r="318" spans="11:14" ht="15.75" customHeight="1" x14ac:dyDescent="0.3">
      <c r="K318" s="8"/>
      <c r="L318" s="8"/>
      <c r="M318" s="8"/>
      <c r="N318" s="8"/>
    </row>
    <row r="319" spans="11:14" ht="15.75" customHeight="1" x14ac:dyDescent="0.3">
      <c r="K319" s="8"/>
      <c r="L319" s="8"/>
      <c r="M319" s="8"/>
      <c r="N319" s="8"/>
    </row>
    <row r="320" spans="11:14" ht="15.75" customHeight="1" x14ac:dyDescent="0.3">
      <c r="K320" s="8"/>
      <c r="L320" s="8"/>
      <c r="M320" s="8"/>
      <c r="N320" s="8"/>
    </row>
    <row r="321" spans="11:14" ht="15.75" customHeight="1" x14ac:dyDescent="0.3">
      <c r="K321" s="8"/>
      <c r="L321" s="8"/>
      <c r="M321" s="8"/>
      <c r="N321" s="8"/>
    </row>
    <row r="322" spans="11:14" ht="15.75" customHeight="1" x14ac:dyDescent="0.3">
      <c r="K322" s="8"/>
      <c r="L322" s="8"/>
      <c r="M322" s="8"/>
      <c r="N322" s="8"/>
    </row>
    <row r="323" spans="11:14" ht="15.75" customHeight="1" x14ac:dyDescent="0.3">
      <c r="K323" s="8"/>
      <c r="L323" s="8"/>
      <c r="M323" s="8"/>
      <c r="N323" s="8"/>
    </row>
    <row r="324" spans="11:14" ht="15.75" customHeight="1" x14ac:dyDescent="0.3">
      <c r="K324" s="8"/>
      <c r="L324" s="8"/>
      <c r="M324" s="8"/>
      <c r="N324" s="8"/>
    </row>
    <row r="325" spans="11:14" ht="15.75" customHeight="1" x14ac:dyDescent="0.3">
      <c r="K325" s="8"/>
      <c r="L325" s="8"/>
      <c r="M325" s="8"/>
      <c r="N325" s="8"/>
    </row>
    <row r="326" spans="11:14" ht="15.75" customHeight="1" x14ac:dyDescent="0.3">
      <c r="K326" s="8"/>
      <c r="L326" s="8"/>
      <c r="M326" s="8"/>
      <c r="N326" s="8"/>
    </row>
    <row r="327" spans="11:14" ht="15.75" customHeight="1" x14ac:dyDescent="0.3">
      <c r="K327" s="8"/>
      <c r="L327" s="8"/>
      <c r="M327" s="8"/>
      <c r="N327" s="8"/>
    </row>
    <row r="328" spans="11:14" ht="15.75" customHeight="1" x14ac:dyDescent="0.3">
      <c r="K328" s="8"/>
      <c r="L328" s="8"/>
      <c r="M328" s="8"/>
      <c r="N328" s="8"/>
    </row>
    <row r="329" spans="11:14" ht="15.75" customHeight="1" x14ac:dyDescent="0.3">
      <c r="K329" s="8"/>
      <c r="L329" s="8"/>
      <c r="M329" s="8"/>
      <c r="N329" s="8"/>
    </row>
    <row r="330" spans="11:14" ht="15.75" customHeight="1" x14ac:dyDescent="0.3">
      <c r="K330" s="8"/>
      <c r="L330" s="8"/>
      <c r="M330" s="8"/>
      <c r="N330" s="8"/>
    </row>
    <row r="331" spans="11:14" ht="15.75" customHeight="1" x14ac:dyDescent="0.3">
      <c r="K331" s="8"/>
      <c r="L331" s="8"/>
      <c r="M331" s="8"/>
      <c r="N331" s="8"/>
    </row>
    <row r="332" spans="11:14" ht="15.75" customHeight="1" x14ac:dyDescent="0.3">
      <c r="K332" s="8"/>
      <c r="L332" s="8"/>
      <c r="M332" s="8"/>
      <c r="N332" s="8"/>
    </row>
    <row r="333" spans="11:14" ht="15.75" customHeight="1" x14ac:dyDescent="0.3">
      <c r="K333" s="8"/>
      <c r="L333" s="8"/>
      <c r="M333" s="8"/>
      <c r="N333" s="8"/>
    </row>
    <row r="334" spans="11:14" ht="15.75" customHeight="1" x14ac:dyDescent="0.3">
      <c r="K334" s="8"/>
      <c r="L334" s="8"/>
      <c r="M334" s="8"/>
      <c r="N334" s="8"/>
    </row>
    <row r="335" spans="11:14" ht="15.75" customHeight="1" x14ac:dyDescent="0.3">
      <c r="K335" s="8"/>
      <c r="L335" s="8"/>
      <c r="M335" s="8"/>
      <c r="N335" s="8"/>
    </row>
    <row r="336" spans="11:14" ht="15.75" customHeight="1" x14ac:dyDescent="0.3">
      <c r="K336" s="8"/>
      <c r="L336" s="8"/>
      <c r="M336" s="8"/>
      <c r="N336" s="8"/>
    </row>
    <row r="337" spans="11:14" ht="15.75" customHeight="1" x14ac:dyDescent="0.3">
      <c r="K337" s="8"/>
      <c r="L337" s="8"/>
      <c r="M337" s="8"/>
      <c r="N337" s="8"/>
    </row>
    <row r="338" spans="11:14" ht="15.75" customHeight="1" x14ac:dyDescent="0.3">
      <c r="K338" s="8"/>
      <c r="L338" s="8"/>
      <c r="M338" s="8"/>
      <c r="N338" s="8"/>
    </row>
    <row r="339" spans="11:14" ht="15.75" customHeight="1" x14ac:dyDescent="0.3">
      <c r="K339" s="8"/>
      <c r="L339" s="8"/>
      <c r="M339" s="8"/>
      <c r="N339" s="8"/>
    </row>
    <row r="340" spans="11:14" ht="15.75" customHeight="1" x14ac:dyDescent="0.3">
      <c r="K340" s="8"/>
      <c r="L340" s="8"/>
      <c r="M340" s="8"/>
      <c r="N340" s="8"/>
    </row>
    <row r="341" spans="11:14" ht="15.75" customHeight="1" x14ac:dyDescent="0.3">
      <c r="K341" s="8"/>
      <c r="L341" s="8"/>
      <c r="M341" s="8"/>
      <c r="N341" s="8"/>
    </row>
    <row r="342" spans="11:14" ht="15.75" customHeight="1" x14ac:dyDescent="0.3">
      <c r="K342" s="8"/>
      <c r="L342" s="8"/>
      <c r="M342" s="8"/>
      <c r="N342" s="8"/>
    </row>
    <row r="343" spans="11:14" ht="15.75" customHeight="1" x14ac:dyDescent="0.3">
      <c r="K343" s="8"/>
      <c r="L343" s="8"/>
      <c r="M343" s="8"/>
      <c r="N343" s="8"/>
    </row>
    <row r="344" spans="11:14" ht="15.75" customHeight="1" x14ac:dyDescent="0.3">
      <c r="K344" s="8"/>
      <c r="L344" s="8"/>
      <c r="M344" s="8"/>
      <c r="N344" s="8"/>
    </row>
    <row r="345" spans="11:14" ht="15.75" customHeight="1" x14ac:dyDescent="0.3">
      <c r="K345" s="8"/>
      <c r="L345" s="8"/>
      <c r="M345" s="8"/>
      <c r="N345" s="8"/>
    </row>
    <row r="346" spans="11:14" ht="15.75" customHeight="1" x14ac:dyDescent="0.3">
      <c r="K346" s="8"/>
      <c r="L346" s="8"/>
      <c r="M346" s="8"/>
      <c r="N346" s="8"/>
    </row>
    <row r="347" spans="11:14" ht="15.75" customHeight="1" x14ac:dyDescent="0.3">
      <c r="K347" s="8"/>
      <c r="L347" s="8"/>
      <c r="M347" s="8"/>
      <c r="N347" s="8"/>
    </row>
    <row r="348" spans="11:14" ht="15.75" customHeight="1" x14ac:dyDescent="0.3">
      <c r="K348" s="8"/>
      <c r="L348" s="8"/>
      <c r="M348" s="8"/>
      <c r="N348" s="8"/>
    </row>
    <row r="349" spans="11:14" ht="15.75" customHeight="1" x14ac:dyDescent="0.3">
      <c r="K349" s="8"/>
      <c r="L349" s="8"/>
      <c r="M349" s="8"/>
      <c r="N349" s="8"/>
    </row>
    <row r="350" spans="11:14" ht="15.75" customHeight="1" x14ac:dyDescent="0.3">
      <c r="K350" s="8"/>
      <c r="L350" s="8"/>
      <c r="M350" s="8"/>
      <c r="N350" s="8"/>
    </row>
    <row r="351" spans="11:14" ht="15.75" customHeight="1" x14ac:dyDescent="0.3">
      <c r="K351" s="8"/>
      <c r="L351" s="8"/>
      <c r="M351" s="8"/>
      <c r="N351" s="8"/>
    </row>
    <row r="352" spans="11:14" ht="15.75" customHeight="1" x14ac:dyDescent="0.3">
      <c r="K352" s="8"/>
      <c r="L352" s="8"/>
      <c r="M352" s="8"/>
      <c r="N352" s="8"/>
    </row>
    <row r="353" spans="11:14" ht="15.75" customHeight="1" x14ac:dyDescent="0.3">
      <c r="K353" s="8"/>
      <c r="L353" s="8"/>
      <c r="M353" s="8"/>
      <c r="N353" s="8"/>
    </row>
    <row r="354" spans="11:14" ht="15.75" customHeight="1" x14ac:dyDescent="0.3">
      <c r="K354" s="8"/>
      <c r="L354" s="8"/>
      <c r="M354" s="8"/>
      <c r="N354" s="8"/>
    </row>
    <row r="355" spans="11:14" ht="15.75" customHeight="1" x14ac:dyDescent="0.3">
      <c r="K355" s="8"/>
      <c r="L355" s="8"/>
      <c r="M355" s="8"/>
      <c r="N355" s="8"/>
    </row>
    <row r="356" spans="11:14" ht="15.75" customHeight="1" x14ac:dyDescent="0.3">
      <c r="K356" s="8"/>
      <c r="L356" s="8"/>
      <c r="M356" s="8"/>
      <c r="N356" s="8"/>
    </row>
    <row r="357" spans="11:14" ht="15.75" customHeight="1" x14ac:dyDescent="0.3">
      <c r="K357" s="8"/>
      <c r="L357" s="8"/>
      <c r="M357" s="8"/>
      <c r="N357" s="8"/>
    </row>
    <row r="358" spans="11:14" ht="15.75" customHeight="1" x14ac:dyDescent="0.3">
      <c r="K358" s="8"/>
      <c r="L358" s="8"/>
      <c r="M358" s="8"/>
      <c r="N358" s="8"/>
    </row>
    <row r="359" spans="11:14" ht="15.75" customHeight="1" x14ac:dyDescent="0.3">
      <c r="K359" s="8"/>
      <c r="L359" s="8"/>
      <c r="M359" s="8"/>
      <c r="N359" s="8"/>
    </row>
    <row r="360" spans="11:14" ht="15.75" customHeight="1" x14ac:dyDescent="0.3">
      <c r="K360" s="8"/>
      <c r="L360" s="8"/>
      <c r="M360" s="8"/>
      <c r="N360" s="8"/>
    </row>
    <row r="361" spans="11:14" ht="15.75" customHeight="1" x14ac:dyDescent="0.3">
      <c r="K361" s="8"/>
      <c r="L361" s="8"/>
      <c r="M361" s="8"/>
      <c r="N361" s="8"/>
    </row>
    <row r="362" spans="11:14" ht="15.75" customHeight="1" x14ac:dyDescent="0.3">
      <c r="K362" s="8"/>
      <c r="L362" s="8"/>
      <c r="M362" s="8"/>
      <c r="N362" s="8"/>
    </row>
    <row r="363" spans="11:14" ht="15.75" customHeight="1" x14ac:dyDescent="0.3">
      <c r="K363" s="8"/>
      <c r="L363" s="8"/>
      <c r="M363" s="8"/>
      <c r="N363" s="8"/>
    </row>
    <row r="364" spans="11:14" ht="15.75" customHeight="1" x14ac:dyDescent="0.3">
      <c r="K364" s="8"/>
      <c r="L364" s="8"/>
      <c r="M364" s="8"/>
      <c r="N364" s="8"/>
    </row>
    <row r="365" spans="11:14" ht="15.75" customHeight="1" x14ac:dyDescent="0.3">
      <c r="K365" s="8"/>
      <c r="L365" s="8"/>
      <c r="M365" s="8"/>
      <c r="N365" s="8"/>
    </row>
    <row r="366" spans="11:14" ht="15.75" customHeight="1" x14ac:dyDescent="0.3">
      <c r="K366" s="8"/>
      <c r="L366" s="8"/>
      <c r="M366" s="8"/>
      <c r="N366" s="8"/>
    </row>
    <row r="367" spans="11:14" ht="15.75" customHeight="1" x14ac:dyDescent="0.3">
      <c r="K367" s="8"/>
      <c r="L367" s="8"/>
      <c r="M367" s="8"/>
      <c r="N367" s="8"/>
    </row>
    <row r="368" spans="11:14" ht="15.75" customHeight="1" x14ac:dyDescent="0.3">
      <c r="K368" s="8"/>
      <c r="L368" s="8"/>
      <c r="M368" s="8"/>
      <c r="N368" s="8"/>
    </row>
    <row r="369" spans="11:14" ht="15.75" customHeight="1" x14ac:dyDescent="0.3">
      <c r="K369" s="8"/>
      <c r="L369" s="8"/>
      <c r="M369" s="8"/>
      <c r="N369" s="8"/>
    </row>
    <row r="370" spans="11:14" ht="15.75" customHeight="1" x14ac:dyDescent="0.3">
      <c r="K370" s="8"/>
      <c r="L370" s="8"/>
      <c r="M370" s="8"/>
      <c r="N370" s="8"/>
    </row>
    <row r="371" spans="11:14" ht="15.75" customHeight="1" x14ac:dyDescent="0.3">
      <c r="K371" s="8"/>
      <c r="L371" s="8"/>
      <c r="M371" s="8"/>
      <c r="N371" s="8"/>
    </row>
    <row r="372" spans="11:14" ht="15.75" customHeight="1" x14ac:dyDescent="0.3">
      <c r="K372" s="8"/>
      <c r="L372" s="8"/>
      <c r="M372" s="8"/>
      <c r="N372" s="8"/>
    </row>
    <row r="373" spans="11:14" ht="15.75" customHeight="1" x14ac:dyDescent="0.3">
      <c r="K373" s="8"/>
      <c r="L373" s="8"/>
      <c r="M373" s="8"/>
      <c r="N373" s="8"/>
    </row>
    <row r="374" spans="11:14" ht="15.75" customHeight="1" x14ac:dyDescent="0.3">
      <c r="K374" s="8"/>
      <c r="L374" s="8"/>
      <c r="M374" s="8"/>
      <c r="N374" s="8"/>
    </row>
    <row r="375" spans="11:14" ht="15.75" customHeight="1" x14ac:dyDescent="0.3">
      <c r="K375" s="8"/>
      <c r="L375" s="8"/>
      <c r="M375" s="8"/>
      <c r="N375" s="8"/>
    </row>
    <row r="376" spans="11:14" ht="15.75" customHeight="1" x14ac:dyDescent="0.3">
      <c r="K376" s="8"/>
      <c r="L376" s="8"/>
      <c r="M376" s="8"/>
      <c r="N376" s="8"/>
    </row>
    <row r="377" spans="11:14" ht="15.75" customHeight="1" x14ac:dyDescent="0.3">
      <c r="K377" s="8"/>
      <c r="L377" s="8"/>
      <c r="M377" s="8"/>
      <c r="N377" s="8"/>
    </row>
    <row r="378" spans="11:14" ht="15.75" customHeight="1" x14ac:dyDescent="0.3">
      <c r="K378" s="8"/>
      <c r="L378" s="8"/>
      <c r="M378" s="8"/>
      <c r="N378" s="8"/>
    </row>
    <row r="379" spans="11:14" ht="15.75" customHeight="1" x14ac:dyDescent="0.3">
      <c r="K379" s="8"/>
      <c r="L379" s="8"/>
      <c r="M379" s="8"/>
      <c r="N379" s="8"/>
    </row>
    <row r="380" spans="11:14" ht="15.75" customHeight="1" x14ac:dyDescent="0.3">
      <c r="K380" s="8"/>
      <c r="L380" s="8"/>
      <c r="M380" s="8"/>
      <c r="N380" s="8"/>
    </row>
    <row r="381" spans="11:14" ht="15.75" customHeight="1" x14ac:dyDescent="0.3">
      <c r="K381" s="8"/>
      <c r="L381" s="8"/>
      <c r="M381" s="8"/>
      <c r="N381" s="8"/>
    </row>
    <row r="382" spans="11:14" ht="15.75" customHeight="1" x14ac:dyDescent="0.3">
      <c r="K382" s="8"/>
      <c r="L382" s="8"/>
      <c r="M382" s="8"/>
      <c r="N382" s="8"/>
    </row>
    <row r="383" spans="11:14" ht="15.75" customHeight="1" x14ac:dyDescent="0.3">
      <c r="K383" s="8"/>
      <c r="L383" s="8"/>
      <c r="M383" s="8"/>
      <c r="N383" s="8"/>
    </row>
    <row r="384" spans="11:14" ht="15.75" customHeight="1" x14ac:dyDescent="0.3">
      <c r="K384" s="8"/>
      <c r="L384" s="8"/>
      <c r="M384" s="8"/>
      <c r="N384" s="8"/>
    </row>
    <row r="385" spans="11:14" ht="15.75" customHeight="1" x14ac:dyDescent="0.3">
      <c r="K385" s="8"/>
      <c r="L385" s="8"/>
      <c r="M385" s="8"/>
      <c r="N385" s="8"/>
    </row>
    <row r="386" spans="11:14" ht="15.75" customHeight="1" x14ac:dyDescent="0.3">
      <c r="K386" s="8"/>
      <c r="L386" s="8"/>
      <c r="M386" s="8"/>
      <c r="N386" s="8"/>
    </row>
    <row r="387" spans="11:14" ht="15.75" customHeight="1" x14ac:dyDescent="0.3">
      <c r="K387" s="8"/>
      <c r="L387" s="8"/>
      <c r="M387" s="8"/>
      <c r="N387" s="8"/>
    </row>
    <row r="388" spans="11:14" ht="15.75" customHeight="1" x14ac:dyDescent="0.3">
      <c r="K388" s="8"/>
      <c r="L388" s="8"/>
      <c r="M388" s="8"/>
      <c r="N388" s="8"/>
    </row>
    <row r="389" spans="11:14" ht="15.75" customHeight="1" x14ac:dyDescent="0.3">
      <c r="K389" s="8"/>
      <c r="L389" s="8"/>
      <c r="M389" s="8"/>
      <c r="N389" s="8"/>
    </row>
    <row r="390" spans="11:14" ht="15.75" customHeight="1" x14ac:dyDescent="0.3">
      <c r="K390" s="8"/>
      <c r="L390" s="8"/>
      <c r="M390" s="8"/>
      <c r="N390" s="8"/>
    </row>
    <row r="391" spans="11:14" ht="15.75" customHeight="1" x14ac:dyDescent="0.3">
      <c r="K391" s="8"/>
      <c r="L391" s="8"/>
      <c r="M391" s="8"/>
      <c r="N391" s="8"/>
    </row>
    <row r="392" spans="11:14" ht="15.75" customHeight="1" x14ac:dyDescent="0.3">
      <c r="K392" s="8"/>
      <c r="L392" s="8"/>
      <c r="M392" s="8"/>
      <c r="N392" s="8"/>
    </row>
    <row r="393" spans="11:14" ht="15.75" customHeight="1" x14ac:dyDescent="0.3">
      <c r="K393" s="8"/>
      <c r="L393" s="8"/>
      <c r="M393" s="8"/>
      <c r="N393" s="8"/>
    </row>
    <row r="394" spans="11:14" ht="15.75" customHeight="1" x14ac:dyDescent="0.3">
      <c r="K394" s="8"/>
      <c r="L394" s="8"/>
      <c r="M394" s="8"/>
      <c r="N394" s="8"/>
    </row>
    <row r="395" spans="11:14" ht="15.75" customHeight="1" x14ac:dyDescent="0.3">
      <c r="K395" s="8"/>
      <c r="L395" s="8"/>
      <c r="M395" s="8"/>
      <c r="N395" s="8"/>
    </row>
    <row r="396" spans="11:14" ht="15.75" customHeight="1" x14ac:dyDescent="0.3">
      <c r="K396" s="8"/>
      <c r="L396" s="8"/>
      <c r="M396" s="8"/>
      <c r="N396" s="8"/>
    </row>
    <row r="397" spans="11:14" ht="15.75" customHeight="1" x14ac:dyDescent="0.3">
      <c r="K397" s="8"/>
      <c r="L397" s="8"/>
      <c r="M397" s="8"/>
      <c r="N397" s="8"/>
    </row>
    <row r="398" spans="11:14" ht="15.75" customHeight="1" x14ac:dyDescent="0.3">
      <c r="K398" s="8"/>
      <c r="L398" s="8"/>
      <c r="M398" s="8"/>
      <c r="N398" s="8"/>
    </row>
    <row r="399" spans="11:14" ht="15.75" customHeight="1" x14ac:dyDescent="0.3">
      <c r="K399" s="8"/>
      <c r="L399" s="8"/>
      <c r="M399" s="8"/>
      <c r="N399" s="8"/>
    </row>
    <row r="400" spans="11:14" ht="15.75" customHeight="1" x14ac:dyDescent="0.3">
      <c r="K400" s="8"/>
      <c r="L400" s="8"/>
      <c r="M400" s="8"/>
      <c r="N400" s="8"/>
    </row>
    <row r="401" spans="11:14" ht="15.75" customHeight="1" x14ac:dyDescent="0.3">
      <c r="K401" s="8"/>
      <c r="L401" s="8"/>
      <c r="M401" s="8"/>
      <c r="N401" s="8"/>
    </row>
    <row r="402" spans="11:14" ht="15.75" customHeight="1" x14ac:dyDescent="0.3">
      <c r="K402" s="8"/>
      <c r="L402" s="8"/>
      <c r="M402" s="8"/>
      <c r="N402" s="8"/>
    </row>
    <row r="403" spans="11:14" ht="15.75" customHeight="1" x14ac:dyDescent="0.3">
      <c r="K403" s="8"/>
      <c r="L403" s="8"/>
      <c r="M403" s="8"/>
      <c r="N403" s="8"/>
    </row>
    <row r="404" spans="11:14" ht="15.75" customHeight="1" x14ac:dyDescent="0.3">
      <c r="K404" s="8"/>
      <c r="L404" s="8"/>
      <c r="M404" s="8"/>
      <c r="N404" s="8"/>
    </row>
    <row r="405" spans="11:14" ht="15.75" customHeight="1" x14ac:dyDescent="0.3">
      <c r="K405" s="8"/>
      <c r="L405" s="8"/>
      <c r="M405" s="8"/>
      <c r="N405" s="8"/>
    </row>
    <row r="406" spans="11:14" ht="15.75" customHeight="1" x14ac:dyDescent="0.3">
      <c r="K406" s="8"/>
      <c r="L406" s="8"/>
      <c r="M406" s="8"/>
      <c r="N406" s="8"/>
    </row>
    <row r="407" spans="11:14" ht="15.75" customHeight="1" x14ac:dyDescent="0.3">
      <c r="K407" s="8"/>
      <c r="L407" s="8"/>
      <c r="M407" s="8"/>
      <c r="N407" s="8"/>
    </row>
    <row r="408" spans="11:14" ht="15.75" customHeight="1" x14ac:dyDescent="0.3">
      <c r="K408" s="8"/>
      <c r="L408" s="8"/>
      <c r="M408" s="8"/>
      <c r="N408" s="8"/>
    </row>
    <row r="409" spans="11:14" ht="15.75" customHeight="1" x14ac:dyDescent="0.3">
      <c r="K409" s="8"/>
      <c r="L409" s="8"/>
      <c r="M409" s="8"/>
      <c r="N409" s="8"/>
    </row>
    <row r="410" spans="11:14" ht="15.75" customHeight="1" x14ac:dyDescent="0.3">
      <c r="K410" s="8"/>
      <c r="L410" s="8"/>
      <c r="M410" s="8"/>
      <c r="N410" s="8"/>
    </row>
    <row r="411" spans="11:14" ht="15.75" customHeight="1" x14ac:dyDescent="0.3">
      <c r="K411" s="8"/>
      <c r="L411" s="8"/>
      <c r="M411" s="8"/>
      <c r="N411" s="8"/>
    </row>
    <row r="412" spans="11:14" ht="15.75" customHeight="1" x14ac:dyDescent="0.3">
      <c r="K412" s="8"/>
      <c r="L412" s="8"/>
      <c r="M412" s="8"/>
      <c r="N412" s="8"/>
    </row>
    <row r="413" spans="11:14" ht="15.75" customHeight="1" x14ac:dyDescent="0.3">
      <c r="K413" s="8"/>
      <c r="L413" s="8"/>
      <c r="M413" s="8"/>
      <c r="N413" s="8"/>
    </row>
    <row r="414" spans="11:14" ht="15.75" customHeight="1" x14ac:dyDescent="0.3">
      <c r="K414" s="8"/>
      <c r="L414" s="8"/>
      <c r="M414" s="8"/>
      <c r="N414" s="8"/>
    </row>
    <row r="415" spans="11:14" ht="15.75" customHeight="1" x14ac:dyDescent="0.3">
      <c r="K415" s="8"/>
      <c r="L415" s="8"/>
      <c r="M415" s="8"/>
      <c r="N415" s="8"/>
    </row>
    <row r="416" spans="11:14" ht="15.75" customHeight="1" x14ac:dyDescent="0.3">
      <c r="K416" s="8"/>
      <c r="L416" s="8"/>
      <c r="M416" s="8"/>
      <c r="N416" s="8"/>
    </row>
    <row r="417" spans="11:14" ht="15.75" customHeight="1" x14ac:dyDescent="0.3">
      <c r="K417" s="8"/>
      <c r="L417" s="8"/>
      <c r="M417" s="8"/>
      <c r="N417" s="8"/>
    </row>
    <row r="418" spans="11:14" ht="15.75" customHeight="1" x14ac:dyDescent="0.3">
      <c r="K418" s="8"/>
      <c r="L418" s="8"/>
      <c r="M418" s="8"/>
      <c r="N418" s="8"/>
    </row>
    <row r="419" spans="11:14" ht="15.75" customHeight="1" x14ac:dyDescent="0.3">
      <c r="K419" s="8"/>
      <c r="L419" s="8"/>
      <c r="M419" s="8"/>
      <c r="N419" s="8"/>
    </row>
    <row r="420" spans="11:14" ht="15.75" customHeight="1" x14ac:dyDescent="0.3">
      <c r="K420" s="8"/>
      <c r="L420" s="8"/>
      <c r="M420" s="8"/>
      <c r="N420" s="8"/>
    </row>
    <row r="421" spans="11:14" ht="15.75" customHeight="1" x14ac:dyDescent="0.3">
      <c r="K421" s="8"/>
      <c r="L421" s="8"/>
      <c r="M421" s="8"/>
      <c r="N421" s="8"/>
    </row>
    <row r="422" spans="11:14" ht="15.75" customHeight="1" x14ac:dyDescent="0.3">
      <c r="K422" s="8"/>
      <c r="L422" s="8"/>
      <c r="M422" s="8"/>
      <c r="N422" s="8"/>
    </row>
    <row r="423" spans="11:14" ht="15.75" customHeight="1" x14ac:dyDescent="0.3">
      <c r="K423" s="8"/>
      <c r="L423" s="8"/>
      <c r="M423" s="8"/>
      <c r="N423" s="8"/>
    </row>
    <row r="424" spans="11:14" ht="15.75" customHeight="1" x14ac:dyDescent="0.3">
      <c r="K424" s="8"/>
      <c r="L424" s="8"/>
      <c r="M424" s="8"/>
      <c r="N424" s="8"/>
    </row>
    <row r="425" spans="11:14" ht="15.75" customHeight="1" x14ac:dyDescent="0.3">
      <c r="K425" s="8"/>
      <c r="L425" s="8"/>
      <c r="M425" s="8"/>
      <c r="N425" s="8"/>
    </row>
    <row r="426" spans="11:14" ht="15.75" customHeight="1" x14ac:dyDescent="0.3">
      <c r="K426" s="8"/>
      <c r="L426" s="8"/>
      <c r="M426" s="8"/>
      <c r="N426" s="8"/>
    </row>
    <row r="427" spans="11:14" ht="15.75" customHeight="1" x14ac:dyDescent="0.3">
      <c r="K427" s="8"/>
      <c r="L427" s="8"/>
      <c r="M427" s="8"/>
      <c r="N427" s="8"/>
    </row>
    <row r="428" spans="11:14" ht="15.75" customHeight="1" x14ac:dyDescent="0.3">
      <c r="K428" s="8"/>
      <c r="L428" s="8"/>
      <c r="M428" s="8"/>
      <c r="N428" s="8"/>
    </row>
    <row r="429" spans="11:14" ht="15.75" customHeight="1" x14ac:dyDescent="0.3">
      <c r="K429" s="8"/>
      <c r="L429" s="8"/>
      <c r="M429" s="8"/>
      <c r="N429" s="8"/>
    </row>
    <row r="430" spans="11:14" ht="15.75" customHeight="1" x14ac:dyDescent="0.3">
      <c r="K430" s="8"/>
      <c r="L430" s="8"/>
      <c r="M430" s="8"/>
      <c r="N430" s="8"/>
    </row>
    <row r="431" spans="11:14" ht="15.75" customHeight="1" x14ac:dyDescent="0.3">
      <c r="K431" s="8"/>
      <c r="L431" s="8"/>
      <c r="M431" s="8"/>
      <c r="N431" s="8"/>
    </row>
    <row r="432" spans="11:14" ht="15.75" customHeight="1" x14ac:dyDescent="0.3">
      <c r="K432" s="8"/>
      <c r="L432" s="8"/>
      <c r="M432" s="8"/>
      <c r="N432" s="8"/>
    </row>
    <row r="433" spans="11:14" ht="15.75" customHeight="1" x14ac:dyDescent="0.3">
      <c r="K433" s="8"/>
      <c r="L433" s="8"/>
      <c r="M433" s="8"/>
      <c r="N433" s="8"/>
    </row>
    <row r="434" spans="11:14" ht="15.75" customHeight="1" x14ac:dyDescent="0.3">
      <c r="K434" s="8"/>
      <c r="L434" s="8"/>
      <c r="M434" s="8"/>
      <c r="N434" s="8"/>
    </row>
    <row r="435" spans="11:14" ht="15.75" customHeight="1" x14ac:dyDescent="0.3">
      <c r="K435" s="8"/>
      <c r="L435" s="8"/>
      <c r="M435" s="8"/>
      <c r="N435" s="8"/>
    </row>
    <row r="436" spans="11:14" ht="15.75" customHeight="1" x14ac:dyDescent="0.3">
      <c r="K436" s="8"/>
      <c r="L436" s="8"/>
      <c r="M436" s="8"/>
      <c r="N436" s="8"/>
    </row>
    <row r="437" spans="11:14" ht="15.75" customHeight="1" x14ac:dyDescent="0.3">
      <c r="K437" s="8"/>
      <c r="L437" s="8"/>
      <c r="M437" s="8"/>
      <c r="N437" s="8"/>
    </row>
    <row r="438" spans="11:14" ht="15.75" customHeight="1" x14ac:dyDescent="0.3">
      <c r="K438" s="8"/>
      <c r="L438" s="8"/>
      <c r="M438" s="8"/>
      <c r="N438" s="8"/>
    </row>
    <row r="439" spans="11:14" ht="15.75" customHeight="1" x14ac:dyDescent="0.3">
      <c r="K439" s="8"/>
      <c r="L439" s="8"/>
      <c r="M439" s="8"/>
      <c r="N439" s="8"/>
    </row>
    <row r="440" spans="11:14" ht="15.75" customHeight="1" x14ac:dyDescent="0.3">
      <c r="K440" s="8"/>
      <c r="L440" s="8"/>
      <c r="M440" s="8"/>
      <c r="N440" s="8"/>
    </row>
    <row r="441" spans="11:14" ht="15.75" customHeight="1" x14ac:dyDescent="0.3">
      <c r="K441" s="8"/>
      <c r="L441" s="8"/>
      <c r="M441" s="8"/>
      <c r="N441" s="8"/>
    </row>
    <row r="442" spans="11:14" ht="15.75" customHeight="1" x14ac:dyDescent="0.3">
      <c r="K442" s="8"/>
      <c r="L442" s="8"/>
      <c r="M442" s="8"/>
      <c r="N442" s="8"/>
    </row>
    <row r="443" spans="11:14" ht="15.75" customHeight="1" x14ac:dyDescent="0.3">
      <c r="K443" s="8"/>
      <c r="L443" s="8"/>
      <c r="M443" s="8"/>
      <c r="N443" s="8"/>
    </row>
    <row r="444" spans="11:14" ht="15.75" customHeight="1" x14ac:dyDescent="0.3">
      <c r="K444" s="8"/>
      <c r="L444" s="8"/>
      <c r="M444" s="8"/>
      <c r="N444" s="8"/>
    </row>
    <row r="445" spans="11:14" ht="15.75" customHeight="1" x14ac:dyDescent="0.3">
      <c r="K445" s="8"/>
      <c r="L445" s="8"/>
      <c r="M445" s="8"/>
      <c r="N445" s="8"/>
    </row>
    <row r="446" spans="11:14" ht="15.75" customHeight="1" x14ac:dyDescent="0.3">
      <c r="K446" s="8"/>
      <c r="L446" s="8"/>
      <c r="M446" s="8"/>
      <c r="N446" s="8"/>
    </row>
    <row r="447" spans="11:14" ht="15.75" customHeight="1" x14ac:dyDescent="0.3">
      <c r="K447" s="8"/>
      <c r="L447" s="8"/>
      <c r="M447" s="8"/>
      <c r="N447" s="8"/>
    </row>
    <row r="448" spans="11:14" ht="15.75" customHeight="1" x14ac:dyDescent="0.3">
      <c r="K448" s="8"/>
      <c r="L448" s="8"/>
      <c r="M448" s="8"/>
      <c r="N448" s="8"/>
    </row>
    <row r="449" spans="11:14" ht="15.75" customHeight="1" x14ac:dyDescent="0.3">
      <c r="K449" s="8"/>
      <c r="L449" s="8"/>
      <c r="M449" s="8"/>
      <c r="N449" s="8"/>
    </row>
    <row r="450" spans="11:14" ht="15.75" customHeight="1" x14ac:dyDescent="0.3">
      <c r="K450" s="8"/>
      <c r="L450" s="8"/>
      <c r="M450" s="8"/>
      <c r="N450" s="8"/>
    </row>
    <row r="451" spans="11:14" ht="15.75" customHeight="1" x14ac:dyDescent="0.3">
      <c r="K451" s="8"/>
      <c r="L451" s="8"/>
      <c r="M451" s="8"/>
      <c r="N451" s="8"/>
    </row>
    <row r="452" spans="11:14" ht="15.75" customHeight="1" x14ac:dyDescent="0.3">
      <c r="K452" s="8"/>
      <c r="L452" s="8"/>
      <c r="M452" s="8"/>
      <c r="N452" s="8"/>
    </row>
    <row r="453" spans="11:14" ht="15.75" customHeight="1" x14ac:dyDescent="0.3">
      <c r="K453" s="8"/>
      <c r="L453" s="8"/>
      <c r="M453" s="8"/>
      <c r="N453" s="8"/>
    </row>
    <row r="454" spans="11:14" ht="15.75" customHeight="1" x14ac:dyDescent="0.3">
      <c r="K454" s="8"/>
      <c r="L454" s="8"/>
      <c r="M454" s="8"/>
      <c r="N454" s="8"/>
    </row>
    <row r="455" spans="11:14" ht="15.75" customHeight="1" x14ac:dyDescent="0.3">
      <c r="K455" s="8"/>
      <c r="L455" s="8"/>
      <c r="M455" s="8"/>
      <c r="N455" s="8"/>
    </row>
    <row r="456" spans="11:14" ht="15.75" customHeight="1" x14ac:dyDescent="0.3">
      <c r="K456" s="8"/>
      <c r="L456" s="8"/>
      <c r="M456" s="8"/>
      <c r="N456" s="8"/>
    </row>
    <row r="457" spans="11:14" ht="15.75" customHeight="1" x14ac:dyDescent="0.3">
      <c r="K457" s="8"/>
      <c r="L457" s="8"/>
      <c r="M457" s="8"/>
      <c r="N457" s="8"/>
    </row>
    <row r="458" spans="11:14" ht="15.75" customHeight="1" x14ac:dyDescent="0.3">
      <c r="K458" s="8"/>
      <c r="L458" s="8"/>
      <c r="M458" s="8"/>
      <c r="N458" s="8"/>
    </row>
    <row r="459" spans="11:14" ht="15.75" customHeight="1" x14ac:dyDescent="0.3">
      <c r="K459" s="8"/>
      <c r="L459" s="8"/>
      <c r="M459" s="8"/>
      <c r="N459" s="8"/>
    </row>
    <row r="460" spans="11:14" ht="15.75" customHeight="1" x14ac:dyDescent="0.3">
      <c r="K460" s="8"/>
      <c r="L460" s="8"/>
      <c r="M460" s="8"/>
      <c r="N460" s="8"/>
    </row>
    <row r="461" spans="11:14" ht="15.75" customHeight="1" x14ac:dyDescent="0.3">
      <c r="K461" s="8"/>
      <c r="L461" s="8"/>
      <c r="M461" s="8"/>
      <c r="N461" s="8"/>
    </row>
    <row r="462" spans="11:14" ht="15.75" customHeight="1" x14ac:dyDescent="0.3">
      <c r="K462" s="8"/>
      <c r="L462" s="8"/>
      <c r="M462" s="8"/>
      <c r="N462" s="8"/>
    </row>
    <row r="463" spans="11:14" ht="15.75" customHeight="1" x14ac:dyDescent="0.3">
      <c r="K463" s="8"/>
      <c r="L463" s="8"/>
      <c r="M463" s="8"/>
      <c r="N463" s="8"/>
    </row>
    <row r="464" spans="11:14" ht="15.75" customHeight="1" x14ac:dyDescent="0.3">
      <c r="K464" s="8"/>
      <c r="L464" s="8"/>
      <c r="M464" s="8"/>
      <c r="N464" s="8"/>
    </row>
    <row r="465" spans="11:14" ht="15.75" customHeight="1" x14ac:dyDescent="0.3">
      <c r="K465" s="8"/>
      <c r="L465" s="8"/>
      <c r="M465" s="8"/>
      <c r="N465" s="8"/>
    </row>
    <row r="466" spans="11:14" ht="15.75" customHeight="1" x14ac:dyDescent="0.3">
      <c r="K466" s="8"/>
      <c r="L466" s="8"/>
      <c r="M466" s="8"/>
      <c r="N466" s="8"/>
    </row>
    <row r="467" spans="11:14" ht="15.75" customHeight="1" x14ac:dyDescent="0.3">
      <c r="K467" s="8"/>
      <c r="L467" s="8"/>
      <c r="M467" s="8"/>
      <c r="N467" s="8"/>
    </row>
    <row r="468" spans="11:14" ht="15.75" customHeight="1" x14ac:dyDescent="0.3">
      <c r="K468" s="8"/>
      <c r="L468" s="8"/>
      <c r="M468" s="8"/>
      <c r="N468" s="8"/>
    </row>
    <row r="469" spans="11:14" ht="15.75" customHeight="1" x14ac:dyDescent="0.3">
      <c r="K469" s="8"/>
      <c r="L469" s="8"/>
      <c r="M469" s="8"/>
      <c r="N469" s="8"/>
    </row>
    <row r="470" spans="11:14" ht="15.75" customHeight="1" x14ac:dyDescent="0.3">
      <c r="K470" s="8"/>
      <c r="L470" s="8"/>
      <c r="M470" s="8"/>
      <c r="N470" s="8"/>
    </row>
    <row r="471" spans="11:14" ht="15.75" customHeight="1" x14ac:dyDescent="0.3">
      <c r="K471" s="8"/>
      <c r="L471" s="8"/>
      <c r="M471" s="8"/>
      <c r="N471" s="8"/>
    </row>
    <row r="472" spans="11:14" ht="15.75" customHeight="1" x14ac:dyDescent="0.3">
      <c r="K472" s="8"/>
      <c r="L472" s="8"/>
      <c r="M472" s="8"/>
      <c r="N472" s="8"/>
    </row>
    <row r="473" spans="11:14" ht="15.75" customHeight="1" x14ac:dyDescent="0.3">
      <c r="K473" s="8"/>
      <c r="L473" s="8"/>
      <c r="M473" s="8"/>
      <c r="N473" s="8"/>
    </row>
    <row r="474" spans="11:14" ht="15.75" customHeight="1" x14ac:dyDescent="0.3">
      <c r="K474" s="8"/>
      <c r="L474" s="8"/>
      <c r="M474" s="8"/>
      <c r="N474" s="8"/>
    </row>
    <row r="475" spans="11:14" ht="15.75" customHeight="1" x14ac:dyDescent="0.3">
      <c r="K475" s="8"/>
      <c r="L475" s="8"/>
      <c r="M475" s="8"/>
      <c r="N475" s="8"/>
    </row>
    <row r="476" spans="11:14" ht="15.75" customHeight="1" x14ac:dyDescent="0.3">
      <c r="K476" s="8"/>
      <c r="L476" s="8"/>
      <c r="M476" s="8"/>
      <c r="N476" s="8"/>
    </row>
    <row r="477" spans="11:14" ht="15.75" customHeight="1" x14ac:dyDescent="0.3">
      <c r="K477" s="8"/>
      <c r="L477" s="8"/>
      <c r="M477" s="8"/>
      <c r="N477" s="8"/>
    </row>
    <row r="478" spans="11:14" ht="15.75" customHeight="1" x14ac:dyDescent="0.3">
      <c r="K478" s="8"/>
      <c r="L478" s="8"/>
      <c r="M478" s="8"/>
      <c r="N478" s="8"/>
    </row>
    <row r="479" spans="11:14" ht="15.75" customHeight="1" x14ac:dyDescent="0.3">
      <c r="K479" s="8"/>
      <c r="L479" s="8"/>
      <c r="M479" s="8"/>
      <c r="N479" s="8"/>
    </row>
    <row r="480" spans="11:14" ht="15.75" customHeight="1" x14ac:dyDescent="0.3">
      <c r="K480" s="8"/>
      <c r="L480" s="8"/>
      <c r="M480" s="8"/>
      <c r="N480" s="8"/>
    </row>
    <row r="481" spans="11:14" ht="15.75" customHeight="1" x14ac:dyDescent="0.3">
      <c r="K481" s="8"/>
      <c r="L481" s="8"/>
      <c r="M481" s="8"/>
      <c r="N481" s="8"/>
    </row>
    <row r="482" spans="11:14" ht="15.75" customHeight="1" x14ac:dyDescent="0.3">
      <c r="K482" s="8"/>
      <c r="L482" s="8"/>
      <c r="M482" s="8"/>
      <c r="N482" s="8"/>
    </row>
    <row r="483" spans="11:14" ht="15.75" customHeight="1" x14ac:dyDescent="0.3">
      <c r="K483" s="8"/>
      <c r="L483" s="8"/>
      <c r="M483" s="8"/>
      <c r="N483" s="8"/>
    </row>
    <row r="484" spans="11:14" ht="15.75" customHeight="1" x14ac:dyDescent="0.3">
      <c r="K484" s="8"/>
      <c r="L484" s="8"/>
      <c r="M484" s="8"/>
      <c r="N484" s="8"/>
    </row>
    <row r="485" spans="11:14" ht="15.75" customHeight="1" x14ac:dyDescent="0.3">
      <c r="K485" s="8"/>
      <c r="L485" s="8"/>
      <c r="M485" s="8"/>
      <c r="N485" s="8"/>
    </row>
    <row r="486" spans="11:14" ht="15.75" customHeight="1" x14ac:dyDescent="0.3">
      <c r="K486" s="8"/>
      <c r="L486" s="8"/>
      <c r="M486" s="8"/>
      <c r="N486" s="8"/>
    </row>
    <row r="487" spans="11:14" ht="15.75" customHeight="1" x14ac:dyDescent="0.3">
      <c r="K487" s="8"/>
      <c r="L487" s="8"/>
      <c r="M487" s="8"/>
      <c r="N487" s="8"/>
    </row>
    <row r="488" spans="11:14" ht="15.75" customHeight="1" x14ac:dyDescent="0.3">
      <c r="K488" s="8"/>
      <c r="L488" s="8"/>
      <c r="M488" s="8"/>
      <c r="N488" s="8"/>
    </row>
    <row r="489" spans="11:14" ht="15.75" customHeight="1" x14ac:dyDescent="0.3">
      <c r="K489" s="8"/>
      <c r="L489" s="8"/>
      <c r="M489" s="8"/>
      <c r="N489" s="8"/>
    </row>
    <row r="490" spans="11:14" ht="15.75" customHeight="1" x14ac:dyDescent="0.3">
      <c r="K490" s="8"/>
      <c r="L490" s="8"/>
      <c r="M490" s="8"/>
      <c r="N490" s="8"/>
    </row>
    <row r="491" spans="11:14" ht="15.75" customHeight="1" x14ac:dyDescent="0.3">
      <c r="K491" s="8"/>
      <c r="L491" s="8"/>
      <c r="M491" s="8"/>
      <c r="N491" s="8"/>
    </row>
    <row r="492" spans="11:14" ht="15.75" customHeight="1" x14ac:dyDescent="0.3">
      <c r="K492" s="8"/>
      <c r="L492" s="8"/>
      <c r="M492" s="8"/>
      <c r="N492" s="8"/>
    </row>
    <row r="493" spans="11:14" ht="15.75" customHeight="1" x14ac:dyDescent="0.3">
      <c r="K493" s="8"/>
      <c r="L493" s="8"/>
      <c r="M493" s="8"/>
      <c r="N493" s="8"/>
    </row>
    <row r="494" spans="11:14" ht="15.75" customHeight="1" x14ac:dyDescent="0.3">
      <c r="K494" s="8"/>
      <c r="L494" s="8"/>
      <c r="M494" s="8"/>
      <c r="N494" s="8"/>
    </row>
    <row r="495" spans="11:14" ht="15.75" customHeight="1" x14ac:dyDescent="0.3">
      <c r="K495" s="8"/>
      <c r="L495" s="8"/>
      <c r="M495" s="8"/>
      <c r="N495" s="8"/>
    </row>
    <row r="496" spans="11:14" ht="15.75" customHeight="1" x14ac:dyDescent="0.3">
      <c r="K496" s="8"/>
      <c r="L496" s="8"/>
      <c r="M496" s="8"/>
      <c r="N496" s="8"/>
    </row>
    <row r="497" spans="11:14" ht="15.75" customHeight="1" x14ac:dyDescent="0.3">
      <c r="K497" s="8"/>
      <c r="L497" s="8"/>
      <c r="M497" s="8"/>
      <c r="N497" s="8"/>
    </row>
    <row r="498" spans="11:14" ht="15.75" customHeight="1" x14ac:dyDescent="0.3">
      <c r="K498" s="8"/>
      <c r="L498" s="8"/>
      <c r="M498" s="8"/>
      <c r="N498" s="8"/>
    </row>
    <row r="499" spans="11:14" ht="15.75" customHeight="1" x14ac:dyDescent="0.3">
      <c r="K499" s="8"/>
      <c r="L499" s="8"/>
      <c r="M499" s="8"/>
      <c r="N499" s="8"/>
    </row>
    <row r="500" spans="11:14" ht="15.75" customHeight="1" x14ac:dyDescent="0.3">
      <c r="K500" s="8"/>
      <c r="L500" s="8"/>
      <c r="M500" s="8"/>
      <c r="N500" s="8"/>
    </row>
    <row r="501" spans="11:14" ht="15.75" customHeight="1" x14ac:dyDescent="0.3">
      <c r="K501" s="8"/>
      <c r="L501" s="8"/>
      <c r="M501" s="8"/>
      <c r="N501" s="8"/>
    </row>
    <row r="502" spans="11:14" ht="15.75" customHeight="1" x14ac:dyDescent="0.3">
      <c r="K502" s="8"/>
      <c r="L502" s="8"/>
      <c r="M502" s="8"/>
      <c r="N502" s="8"/>
    </row>
    <row r="503" spans="11:14" ht="15.75" customHeight="1" x14ac:dyDescent="0.3">
      <c r="K503" s="8"/>
      <c r="L503" s="8"/>
      <c r="M503" s="8"/>
      <c r="N503" s="8"/>
    </row>
    <row r="504" spans="11:14" ht="15.75" customHeight="1" x14ac:dyDescent="0.3">
      <c r="K504" s="8"/>
      <c r="L504" s="8"/>
      <c r="M504" s="8"/>
      <c r="N504" s="8"/>
    </row>
    <row r="505" spans="11:14" ht="15.75" customHeight="1" x14ac:dyDescent="0.3">
      <c r="K505" s="8"/>
      <c r="L505" s="8"/>
      <c r="M505" s="8"/>
      <c r="N505" s="8"/>
    </row>
    <row r="506" spans="11:14" ht="15.75" customHeight="1" x14ac:dyDescent="0.3">
      <c r="K506" s="8"/>
      <c r="L506" s="8"/>
      <c r="M506" s="8"/>
      <c r="N506" s="8"/>
    </row>
    <row r="507" spans="11:14" ht="15.75" customHeight="1" x14ac:dyDescent="0.3">
      <c r="K507" s="8"/>
      <c r="L507" s="8"/>
      <c r="M507" s="8"/>
      <c r="N507" s="8"/>
    </row>
    <row r="508" spans="11:14" ht="15.75" customHeight="1" x14ac:dyDescent="0.3">
      <c r="K508" s="8"/>
      <c r="L508" s="8"/>
      <c r="M508" s="8"/>
      <c r="N508" s="8"/>
    </row>
    <row r="509" spans="11:14" ht="15.75" customHeight="1" x14ac:dyDescent="0.3">
      <c r="K509" s="8"/>
      <c r="L509" s="8"/>
      <c r="M509" s="8"/>
      <c r="N509" s="8"/>
    </row>
    <row r="510" spans="11:14" ht="15.75" customHeight="1" x14ac:dyDescent="0.3">
      <c r="K510" s="8"/>
      <c r="L510" s="8"/>
      <c r="M510" s="8"/>
      <c r="N510" s="8"/>
    </row>
    <row r="511" spans="11:14" ht="15.75" customHeight="1" x14ac:dyDescent="0.3">
      <c r="K511" s="8"/>
      <c r="L511" s="8"/>
      <c r="M511" s="8"/>
      <c r="N511" s="8"/>
    </row>
    <row r="512" spans="11:14" ht="15.75" customHeight="1" x14ac:dyDescent="0.3">
      <c r="K512" s="8"/>
      <c r="L512" s="8"/>
      <c r="M512" s="8"/>
      <c r="N512" s="8"/>
    </row>
    <row r="513" spans="11:14" ht="15.75" customHeight="1" x14ac:dyDescent="0.3">
      <c r="K513" s="8"/>
      <c r="L513" s="8"/>
      <c r="M513" s="8"/>
      <c r="N513" s="8"/>
    </row>
    <row r="514" spans="11:14" ht="15.75" customHeight="1" x14ac:dyDescent="0.3">
      <c r="K514" s="8"/>
      <c r="L514" s="8"/>
      <c r="M514" s="8"/>
      <c r="N514" s="8"/>
    </row>
    <row r="515" spans="11:14" ht="15.75" customHeight="1" x14ac:dyDescent="0.3">
      <c r="K515" s="8"/>
      <c r="L515" s="8"/>
      <c r="M515" s="8"/>
      <c r="N515" s="8"/>
    </row>
    <row r="516" spans="11:14" ht="15.75" customHeight="1" x14ac:dyDescent="0.3">
      <c r="K516" s="8"/>
      <c r="L516" s="8"/>
      <c r="M516" s="8"/>
      <c r="N516" s="8"/>
    </row>
    <row r="517" spans="11:14" ht="15.75" customHeight="1" x14ac:dyDescent="0.3">
      <c r="K517" s="8"/>
      <c r="L517" s="8"/>
      <c r="M517" s="8"/>
      <c r="N517" s="8"/>
    </row>
    <row r="518" spans="11:14" ht="15.75" customHeight="1" x14ac:dyDescent="0.3">
      <c r="K518" s="8"/>
      <c r="L518" s="8"/>
      <c r="M518" s="8"/>
      <c r="N518" s="8"/>
    </row>
    <row r="519" spans="11:14" ht="15.75" customHeight="1" x14ac:dyDescent="0.3">
      <c r="K519" s="8"/>
      <c r="L519" s="8"/>
      <c r="M519" s="8"/>
      <c r="N519" s="8"/>
    </row>
    <row r="520" spans="11:14" ht="15.75" customHeight="1" x14ac:dyDescent="0.3">
      <c r="K520" s="8"/>
      <c r="L520" s="8"/>
      <c r="M520" s="8"/>
      <c r="N520" s="8"/>
    </row>
    <row r="521" spans="11:14" ht="15.75" customHeight="1" x14ac:dyDescent="0.3">
      <c r="K521" s="8"/>
      <c r="L521" s="8"/>
      <c r="M521" s="8"/>
      <c r="N521" s="8"/>
    </row>
    <row r="522" spans="11:14" ht="15.75" customHeight="1" x14ac:dyDescent="0.3">
      <c r="K522" s="8"/>
      <c r="L522" s="8"/>
      <c r="M522" s="8"/>
      <c r="N522" s="8"/>
    </row>
    <row r="523" spans="11:14" ht="15.75" customHeight="1" x14ac:dyDescent="0.3">
      <c r="K523" s="8"/>
      <c r="L523" s="8"/>
      <c r="M523" s="8"/>
      <c r="N523" s="8"/>
    </row>
    <row r="524" spans="11:14" ht="15.75" customHeight="1" x14ac:dyDescent="0.3">
      <c r="K524" s="8"/>
      <c r="L524" s="8"/>
      <c r="M524" s="8"/>
      <c r="N524" s="8"/>
    </row>
    <row r="525" spans="11:14" ht="15.75" customHeight="1" x14ac:dyDescent="0.3">
      <c r="K525" s="8"/>
      <c r="L525" s="8"/>
      <c r="M525" s="8"/>
      <c r="N525" s="8"/>
    </row>
    <row r="526" spans="11:14" ht="15.75" customHeight="1" x14ac:dyDescent="0.3">
      <c r="K526" s="8"/>
      <c r="L526" s="8"/>
      <c r="M526" s="8"/>
      <c r="N526" s="8"/>
    </row>
    <row r="527" spans="11:14" ht="15.75" customHeight="1" x14ac:dyDescent="0.3">
      <c r="K527" s="8"/>
      <c r="L527" s="8"/>
      <c r="M527" s="8"/>
      <c r="N527" s="8"/>
    </row>
    <row r="528" spans="11:14" ht="15.75" customHeight="1" x14ac:dyDescent="0.3">
      <c r="K528" s="8"/>
      <c r="L528" s="8"/>
      <c r="M528" s="8"/>
      <c r="N528" s="8"/>
    </row>
    <row r="529" spans="11:14" ht="15.75" customHeight="1" x14ac:dyDescent="0.3">
      <c r="K529" s="8"/>
      <c r="L529" s="8"/>
      <c r="M529" s="8"/>
      <c r="N529" s="8"/>
    </row>
    <row r="530" spans="11:14" ht="15.75" customHeight="1" x14ac:dyDescent="0.3">
      <c r="K530" s="8"/>
      <c r="L530" s="8"/>
      <c r="M530" s="8"/>
      <c r="N530" s="8"/>
    </row>
    <row r="531" spans="11:14" ht="15.75" customHeight="1" x14ac:dyDescent="0.3">
      <c r="K531" s="8"/>
      <c r="L531" s="8"/>
      <c r="M531" s="8"/>
      <c r="N531" s="8"/>
    </row>
    <row r="532" spans="11:14" ht="15.75" customHeight="1" x14ac:dyDescent="0.3">
      <c r="K532" s="8"/>
      <c r="L532" s="8"/>
      <c r="M532" s="8"/>
      <c r="N532" s="8"/>
    </row>
    <row r="533" spans="11:14" ht="15.75" customHeight="1" x14ac:dyDescent="0.3">
      <c r="K533" s="8"/>
      <c r="L533" s="8"/>
      <c r="M533" s="8"/>
      <c r="N533" s="8"/>
    </row>
    <row r="534" spans="11:14" ht="15.75" customHeight="1" x14ac:dyDescent="0.3">
      <c r="K534" s="8"/>
      <c r="L534" s="8"/>
      <c r="M534" s="8"/>
      <c r="N534" s="8"/>
    </row>
    <row r="535" spans="11:14" ht="15.75" customHeight="1" x14ac:dyDescent="0.3">
      <c r="K535" s="8"/>
      <c r="L535" s="8"/>
      <c r="M535" s="8"/>
      <c r="N535" s="8"/>
    </row>
    <row r="536" spans="11:14" ht="15.75" customHeight="1" x14ac:dyDescent="0.3">
      <c r="K536" s="8"/>
      <c r="L536" s="8"/>
      <c r="M536" s="8"/>
      <c r="N536" s="8"/>
    </row>
    <row r="537" spans="11:14" ht="15.75" customHeight="1" x14ac:dyDescent="0.3">
      <c r="K537" s="8"/>
      <c r="L537" s="8"/>
      <c r="M537" s="8"/>
      <c r="N537" s="8"/>
    </row>
    <row r="538" spans="11:14" ht="15.75" customHeight="1" x14ac:dyDescent="0.3">
      <c r="K538" s="8"/>
      <c r="L538" s="8"/>
      <c r="M538" s="8"/>
      <c r="N538" s="8"/>
    </row>
    <row r="539" spans="11:14" ht="15.75" customHeight="1" x14ac:dyDescent="0.3">
      <c r="K539" s="8"/>
      <c r="L539" s="8"/>
      <c r="M539" s="8"/>
      <c r="N539" s="8"/>
    </row>
    <row r="540" spans="11:14" ht="15.75" customHeight="1" x14ac:dyDescent="0.3">
      <c r="K540" s="8"/>
      <c r="L540" s="8"/>
      <c r="M540" s="8"/>
      <c r="N540" s="8"/>
    </row>
    <row r="541" spans="11:14" ht="15.75" customHeight="1" x14ac:dyDescent="0.3">
      <c r="K541" s="8"/>
      <c r="L541" s="8"/>
      <c r="M541" s="8"/>
      <c r="N541" s="8"/>
    </row>
    <row r="542" spans="11:14" ht="15.75" customHeight="1" x14ac:dyDescent="0.3">
      <c r="K542" s="8"/>
      <c r="L542" s="8"/>
      <c r="M542" s="8"/>
      <c r="N542" s="8"/>
    </row>
    <row r="543" spans="11:14" ht="15.75" customHeight="1" x14ac:dyDescent="0.3">
      <c r="K543" s="8"/>
      <c r="L543" s="8"/>
      <c r="M543" s="8"/>
      <c r="N543" s="8"/>
    </row>
    <row r="544" spans="11:14" ht="15.75" customHeight="1" x14ac:dyDescent="0.3">
      <c r="K544" s="8"/>
      <c r="L544" s="8"/>
      <c r="M544" s="8"/>
      <c r="N544" s="8"/>
    </row>
    <row r="545" spans="11:14" ht="15.75" customHeight="1" x14ac:dyDescent="0.3">
      <c r="K545" s="8"/>
      <c r="L545" s="8"/>
      <c r="M545" s="8"/>
      <c r="N545" s="8"/>
    </row>
    <row r="546" spans="11:14" ht="15.75" customHeight="1" x14ac:dyDescent="0.3">
      <c r="K546" s="8"/>
      <c r="L546" s="8"/>
      <c r="M546" s="8"/>
      <c r="N546" s="8"/>
    </row>
    <row r="547" spans="11:14" ht="15.75" customHeight="1" x14ac:dyDescent="0.3">
      <c r="K547" s="8"/>
      <c r="L547" s="8"/>
      <c r="M547" s="8"/>
      <c r="N547" s="8"/>
    </row>
    <row r="548" spans="11:14" ht="15.75" customHeight="1" x14ac:dyDescent="0.3">
      <c r="K548" s="8"/>
      <c r="L548" s="8"/>
      <c r="M548" s="8"/>
      <c r="N548" s="8"/>
    </row>
    <row r="549" spans="11:14" ht="15.75" customHeight="1" x14ac:dyDescent="0.3">
      <c r="K549" s="8"/>
      <c r="L549" s="8"/>
      <c r="M549" s="8"/>
      <c r="N549" s="8"/>
    </row>
    <row r="550" spans="11:14" ht="15.75" customHeight="1" x14ac:dyDescent="0.3">
      <c r="K550" s="8"/>
      <c r="L550" s="8"/>
      <c r="M550" s="8"/>
      <c r="N550" s="8"/>
    </row>
    <row r="551" spans="11:14" ht="15.75" customHeight="1" x14ac:dyDescent="0.3">
      <c r="K551" s="8"/>
      <c r="L551" s="8"/>
      <c r="M551" s="8"/>
      <c r="N551" s="8"/>
    </row>
    <row r="552" spans="11:14" ht="15.75" customHeight="1" x14ac:dyDescent="0.3">
      <c r="K552" s="8"/>
      <c r="L552" s="8"/>
      <c r="M552" s="8"/>
      <c r="N552" s="8"/>
    </row>
    <row r="553" spans="11:14" ht="15.75" customHeight="1" x14ac:dyDescent="0.3">
      <c r="K553" s="8"/>
      <c r="L553" s="8"/>
      <c r="M553" s="8"/>
      <c r="N553" s="8"/>
    </row>
    <row r="554" spans="11:14" ht="15.75" customHeight="1" x14ac:dyDescent="0.3">
      <c r="K554" s="8"/>
      <c r="L554" s="8"/>
      <c r="M554" s="8"/>
      <c r="N554" s="8"/>
    </row>
    <row r="555" spans="11:14" ht="15.75" customHeight="1" x14ac:dyDescent="0.3">
      <c r="K555" s="8"/>
      <c r="L555" s="8"/>
      <c r="M555" s="8"/>
      <c r="N555" s="8"/>
    </row>
    <row r="556" spans="11:14" ht="15.75" customHeight="1" x14ac:dyDescent="0.3">
      <c r="K556" s="8"/>
      <c r="L556" s="8"/>
      <c r="M556" s="8"/>
      <c r="N556" s="8"/>
    </row>
    <row r="557" spans="11:14" ht="15.75" customHeight="1" x14ac:dyDescent="0.3">
      <c r="K557" s="8"/>
      <c r="L557" s="8"/>
      <c r="M557" s="8"/>
      <c r="N557" s="8"/>
    </row>
    <row r="558" spans="11:14" ht="15.75" customHeight="1" x14ac:dyDescent="0.3">
      <c r="K558" s="8"/>
      <c r="L558" s="8"/>
      <c r="M558" s="8"/>
      <c r="N558" s="8"/>
    </row>
    <row r="559" spans="11:14" ht="15.75" customHeight="1" x14ac:dyDescent="0.3">
      <c r="K559" s="8"/>
      <c r="L559" s="8"/>
      <c r="M559" s="8"/>
      <c r="N559" s="8"/>
    </row>
    <row r="560" spans="11:14" ht="15.75" customHeight="1" x14ac:dyDescent="0.3">
      <c r="K560" s="8"/>
      <c r="L560" s="8"/>
      <c r="M560" s="8"/>
      <c r="N560" s="8"/>
    </row>
    <row r="561" spans="11:14" ht="15.75" customHeight="1" x14ac:dyDescent="0.3">
      <c r="K561" s="8"/>
      <c r="L561" s="8"/>
      <c r="M561" s="8"/>
      <c r="N561" s="8"/>
    </row>
    <row r="562" spans="11:14" ht="15.75" customHeight="1" x14ac:dyDescent="0.3">
      <c r="K562" s="8"/>
      <c r="L562" s="8"/>
      <c r="M562" s="8"/>
      <c r="N562" s="8"/>
    </row>
    <row r="563" spans="11:14" ht="15.75" customHeight="1" x14ac:dyDescent="0.3">
      <c r="K563" s="8"/>
      <c r="L563" s="8"/>
      <c r="M563" s="8"/>
      <c r="N563" s="8"/>
    </row>
    <row r="564" spans="11:14" ht="15.75" customHeight="1" x14ac:dyDescent="0.3">
      <c r="K564" s="8"/>
      <c r="L564" s="8"/>
      <c r="M564" s="8"/>
      <c r="N564" s="8"/>
    </row>
    <row r="565" spans="11:14" ht="15.75" customHeight="1" x14ac:dyDescent="0.3">
      <c r="K565" s="8"/>
      <c r="L565" s="8"/>
      <c r="M565" s="8"/>
      <c r="N565" s="8"/>
    </row>
    <row r="566" spans="11:14" ht="15.75" customHeight="1" x14ac:dyDescent="0.3">
      <c r="K566" s="8"/>
      <c r="L566" s="8"/>
      <c r="M566" s="8"/>
      <c r="N566" s="8"/>
    </row>
    <row r="567" spans="11:14" ht="15.75" customHeight="1" x14ac:dyDescent="0.3">
      <c r="K567" s="8"/>
      <c r="L567" s="8"/>
      <c r="M567" s="8"/>
      <c r="N567" s="8"/>
    </row>
    <row r="568" spans="11:14" ht="15.75" customHeight="1" x14ac:dyDescent="0.3">
      <c r="K568" s="8"/>
      <c r="L568" s="8"/>
      <c r="M568" s="8"/>
      <c r="N568" s="8"/>
    </row>
    <row r="569" spans="11:14" ht="15.75" customHeight="1" x14ac:dyDescent="0.3">
      <c r="K569" s="8"/>
      <c r="L569" s="8"/>
      <c r="M569" s="8"/>
      <c r="N569" s="8"/>
    </row>
    <row r="570" spans="11:14" ht="15.75" customHeight="1" x14ac:dyDescent="0.3">
      <c r="K570" s="8"/>
      <c r="L570" s="8"/>
      <c r="M570" s="8"/>
      <c r="N570" s="8"/>
    </row>
    <row r="571" spans="11:14" ht="15.75" customHeight="1" x14ac:dyDescent="0.3">
      <c r="K571" s="8"/>
      <c r="L571" s="8"/>
      <c r="M571" s="8"/>
      <c r="N571" s="8"/>
    </row>
    <row r="572" spans="11:14" ht="15.75" customHeight="1" x14ac:dyDescent="0.3">
      <c r="K572" s="8"/>
      <c r="L572" s="8"/>
      <c r="M572" s="8"/>
      <c r="N572" s="8"/>
    </row>
    <row r="573" spans="11:14" ht="15.75" customHeight="1" x14ac:dyDescent="0.3">
      <c r="K573" s="8"/>
      <c r="L573" s="8"/>
      <c r="M573" s="8"/>
      <c r="N573" s="8"/>
    </row>
    <row r="574" spans="11:14" ht="15.75" customHeight="1" x14ac:dyDescent="0.3">
      <c r="K574" s="8"/>
      <c r="L574" s="8"/>
      <c r="M574" s="8"/>
      <c r="N574" s="8"/>
    </row>
    <row r="575" spans="11:14" ht="15.75" customHeight="1" x14ac:dyDescent="0.3">
      <c r="K575" s="8"/>
      <c r="L575" s="8"/>
      <c r="M575" s="8"/>
      <c r="N575" s="8"/>
    </row>
    <row r="576" spans="11:14" ht="15.75" customHeight="1" x14ac:dyDescent="0.3">
      <c r="K576" s="8"/>
      <c r="L576" s="8"/>
      <c r="M576" s="8"/>
      <c r="N576" s="8"/>
    </row>
    <row r="577" spans="11:14" ht="15.75" customHeight="1" x14ac:dyDescent="0.3">
      <c r="K577" s="8"/>
      <c r="L577" s="8"/>
      <c r="M577" s="8"/>
      <c r="N577" s="8"/>
    </row>
    <row r="578" spans="11:14" ht="15.75" customHeight="1" x14ac:dyDescent="0.3">
      <c r="K578" s="8"/>
      <c r="L578" s="8"/>
      <c r="M578" s="8"/>
      <c r="N578" s="8"/>
    </row>
    <row r="579" spans="11:14" ht="15.75" customHeight="1" x14ac:dyDescent="0.3">
      <c r="K579" s="8"/>
      <c r="L579" s="8"/>
      <c r="M579" s="8"/>
      <c r="N579" s="8"/>
    </row>
    <row r="580" spans="11:14" ht="15.75" customHeight="1" x14ac:dyDescent="0.3">
      <c r="K580" s="8"/>
      <c r="L580" s="8"/>
      <c r="M580" s="8"/>
      <c r="N580" s="8"/>
    </row>
    <row r="581" spans="11:14" ht="15.75" customHeight="1" x14ac:dyDescent="0.3">
      <c r="K581" s="8"/>
      <c r="L581" s="8"/>
      <c r="M581" s="8"/>
      <c r="N581" s="8"/>
    </row>
    <row r="582" spans="11:14" ht="15.75" customHeight="1" x14ac:dyDescent="0.3">
      <c r="K582" s="8"/>
      <c r="L582" s="8"/>
      <c r="M582" s="8"/>
      <c r="N582" s="8"/>
    </row>
    <row r="583" spans="11:14" ht="15.75" customHeight="1" x14ac:dyDescent="0.3">
      <c r="K583" s="8"/>
      <c r="L583" s="8"/>
      <c r="M583" s="8"/>
      <c r="N583" s="8"/>
    </row>
    <row r="584" spans="11:14" ht="15.75" customHeight="1" x14ac:dyDescent="0.3">
      <c r="K584" s="8"/>
      <c r="L584" s="8"/>
      <c r="M584" s="8"/>
      <c r="N584" s="8"/>
    </row>
    <row r="585" spans="11:14" ht="15.75" customHeight="1" x14ac:dyDescent="0.3">
      <c r="K585" s="8"/>
      <c r="L585" s="8"/>
      <c r="M585" s="8"/>
      <c r="N585" s="8"/>
    </row>
    <row r="586" spans="11:14" ht="15.75" customHeight="1" x14ac:dyDescent="0.3">
      <c r="K586" s="8"/>
      <c r="L586" s="8"/>
      <c r="M586" s="8"/>
      <c r="N586" s="8"/>
    </row>
    <row r="587" spans="11:14" ht="15.75" customHeight="1" x14ac:dyDescent="0.3">
      <c r="K587" s="8"/>
      <c r="L587" s="8"/>
      <c r="M587" s="8"/>
      <c r="N587" s="8"/>
    </row>
    <row r="588" spans="11:14" ht="15.75" customHeight="1" x14ac:dyDescent="0.3">
      <c r="K588" s="8"/>
      <c r="L588" s="8"/>
      <c r="M588" s="8"/>
      <c r="N588" s="8"/>
    </row>
    <row r="589" spans="11:14" ht="15.75" customHeight="1" x14ac:dyDescent="0.3">
      <c r="K589" s="8"/>
      <c r="L589" s="8"/>
      <c r="M589" s="8"/>
      <c r="N589" s="8"/>
    </row>
    <row r="590" spans="11:14" ht="15.75" customHeight="1" x14ac:dyDescent="0.3">
      <c r="K590" s="8"/>
      <c r="L590" s="8"/>
      <c r="M590" s="8"/>
      <c r="N590" s="8"/>
    </row>
    <row r="591" spans="11:14" ht="15.75" customHeight="1" x14ac:dyDescent="0.3">
      <c r="K591" s="8"/>
      <c r="L591" s="8"/>
      <c r="M591" s="8"/>
      <c r="N591" s="8"/>
    </row>
    <row r="592" spans="11:14" ht="15.75" customHeight="1" x14ac:dyDescent="0.3">
      <c r="K592" s="8"/>
      <c r="L592" s="8"/>
      <c r="M592" s="8"/>
      <c r="N592" s="8"/>
    </row>
    <row r="593" spans="11:14" ht="15.75" customHeight="1" x14ac:dyDescent="0.3">
      <c r="K593" s="8"/>
      <c r="L593" s="8"/>
      <c r="M593" s="8"/>
      <c r="N593" s="8"/>
    </row>
    <row r="594" spans="11:14" ht="15.75" customHeight="1" x14ac:dyDescent="0.3">
      <c r="K594" s="8"/>
      <c r="L594" s="8"/>
      <c r="M594" s="8"/>
      <c r="N594" s="8"/>
    </row>
    <row r="595" spans="11:14" ht="15.75" customHeight="1" x14ac:dyDescent="0.3">
      <c r="K595" s="8"/>
      <c r="L595" s="8"/>
      <c r="M595" s="8"/>
      <c r="N595" s="8"/>
    </row>
    <row r="596" spans="11:14" ht="15.75" customHeight="1" x14ac:dyDescent="0.3">
      <c r="K596" s="8"/>
      <c r="L596" s="8"/>
      <c r="M596" s="8"/>
      <c r="N596" s="8"/>
    </row>
    <row r="597" spans="11:14" ht="15.75" customHeight="1" x14ac:dyDescent="0.3">
      <c r="K597" s="8"/>
      <c r="L597" s="8"/>
      <c r="M597" s="8"/>
      <c r="N597" s="8"/>
    </row>
    <row r="598" spans="11:14" ht="15.75" customHeight="1" x14ac:dyDescent="0.3">
      <c r="K598" s="8"/>
      <c r="L598" s="8"/>
      <c r="M598" s="8"/>
      <c r="N598" s="8"/>
    </row>
    <row r="599" spans="11:14" ht="15.75" customHeight="1" x14ac:dyDescent="0.3">
      <c r="K599" s="8"/>
      <c r="L599" s="8"/>
      <c r="M599" s="8"/>
      <c r="N599" s="8"/>
    </row>
    <row r="600" spans="11:14" ht="15.75" customHeight="1" x14ac:dyDescent="0.3">
      <c r="K600" s="8"/>
      <c r="L600" s="8"/>
      <c r="M600" s="8"/>
      <c r="N600" s="8"/>
    </row>
    <row r="601" spans="11:14" ht="15.75" customHeight="1" x14ac:dyDescent="0.3">
      <c r="K601" s="8"/>
      <c r="L601" s="8"/>
      <c r="M601" s="8"/>
      <c r="N601" s="8"/>
    </row>
    <row r="602" spans="11:14" ht="15.75" customHeight="1" x14ac:dyDescent="0.3">
      <c r="K602" s="8"/>
      <c r="L602" s="8"/>
      <c r="M602" s="8"/>
      <c r="N602" s="8"/>
    </row>
    <row r="603" spans="11:14" ht="15.75" customHeight="1" x14ac:dyDescent="0.3">
      <c r="K603" s="8"/>
      <c r="L603" s="8"/>
      <c r="M603" s="8"/>
      <c r="N603" s="8"/>
    </row>
    <row r="604" spans="11:14" ht="15.75" customHeight="1" x14ac:dyDescent="0.3">
      <c r="K604" s="8"/>
      <c r="L604" s="8"/>
      <c r="M604" s="8"/>
      <c r="N604" s="8"/>
    </row>
    <row r="605" spans="11:14" ht="15.75" customHeight="1" x14ac:dyDescent="0.3">
      <c r="K605" s="8"/>
      <c r="L605" s="8"/>
      <c r="M605" s="8"/>
      <c r="N605" s="8"/>
    </row>
    <row r="606" spans="11:14" ht="15.75" customHeight="1" x14ac:dyDescent="0.3">
      <c r="K606" s="8"/>
      <c r="L606" s="8"/>
      <c r="M606" s="8"/>
      <c r="N606" s="8"/>
    </row>
    <row r="607" spans="11:14" ht="15.75" customHeight="1" x14ac:dyDescent="0.3">
      <c r="K607" s="8"/>
      <c r="L607" s="8"/>
      <c r="M607" s="8"/>
      <c r="N607" s="8"/>
    </row>
    <row r="608" spans="11:14" ht="15.75" customHeight="1" x14ac:dyDescent="0.3">
      <c r="K608" s="8"/>
      <c r="L608" s="8"/>
      <c r="M608" s="8"/>
      <c r="N608" s="8"/>
    </row>
    <row r="609" spans="11:14" ht="15.75" customHeight="1" x14ac:dyDescent="0.3">
      <c r="K609" s="8"/>
      <c r="L609" s="8"/>
      <c r="M609" s="8"/>
      <c r="N609" s="8"/>
    </row>
    <row r="610" spans="11:14" ht="15.75" customHeight="1" x14ac:dyDescent="0.3">
      <c r="K610" s="8"/>
      <c r="L610" s="8"/>
      <c r="M610" s="8"/>
      <c r="N610" s="8"/>
    </row>
    <row r="611" spans="11:14" ht="15.75" customHeight="1" x14ac:dyDescent="0.3">
      <c r="K611" s="8"/>
      <c r="L611" s="8"/>
      <c r="M611" s="8"/>
      <c r="N611" s="8"/>
    </row>
    <row r="612" spans="11:14" ht="15.75" customHeight="1" x14ac:dyDescent="0.3">
      <c r="K612" s="8"/>
      <c r="L612" s="8"/>
      <c r="M612" s="8"/>
      <c r="N612" s="8"/>
    </row>
    <row r="613" spans="11:14" ht="15.75" customHeight="1" x14ac:dyDescent="0.3">
      <c r="K613" s="8"/>
      <c r="L613" s="8"/>
      <c r="M613" s="8"/>
      <c r="N613" s="8"/>
    </row>
    <row r="614" spans="11:14" ht="15.75" customHeight="1" x14ac:dyDescent="0.3">
      <c r="K614" s="8"/>
      <c r="L614" s="8"/>
      <c r="M614" s="8"/>
      <c r="N614" s="8"/>
    </row>
    <row r="615" spans="11:14" ht="15.75" customHeight="1" x14ac:dyDescent="0.3">
      <c r="K615" s="8"/>
      <c r="L615" s="8"/>
      <c r="M615" s="8"/>
      <c r="N615" s="8"/>
    </row>
    <row r="616" spans="11:14" ht="15.75" customHeight="1" x14ac:dyDescent="0.3">
      <c r="K616" s="8"/>
      <c r="L616" s="8"/>
      <c r="M616" s="8"/>
      <c r="N616" s="8"/>
    </row>
    <row r="617" spans="11:14" ht="15.75" customHeight="1" x14ac:dyDescent="0.3">
      <c r="K617" s="8"/>
      <c r="L617" s="8"/>
      <c r="M617" s="8"/>
      <c r="N617" s="8"/>
    </row>
    <row r="618" spans="11:14" ht="15.75" customHeight="1" x14ac:dyDescent="0.3">
      <c r="K618" s="8"/>
      <c r="L618" s="8"/>
      <c r="M618" s="8"/>
      <c r="N618" s="8"/>
    </row>
    <row r="619" spans="11:14" ht="15.75" customHeight="1" x14ac:dyDescent="0.3">
      <c r="K619" s="8"/>
      <c r="L619" s="8"/>
      <c r="M619" s="8"/>
      <c r="N619" s="8"/>
    </row>
    <row r="620" spans="11:14" ht="15.75" customHeight="1" x14ac:dyDescent="0.3">
      <c r="K620" s="8"/>
      <c r="L620" s="8"/>
      <c r="M620" s="8"/>
      <c r="N620" s="8"/>
    </row>
    <row r="621" spans="11:14" ht="15.75" customHeight="1" x14ac:dyDescent="0.3">
      <c r="K621" s="8"/>
      <c r="L621" s="8"/>
      <c r="M621" s="8"/>
      <c r="N621" s="8"/>
    </row>
    <row r="622" spans="11:14" ht="15.75" customHeight="1" x14ac:dyDescent="0.3">
      <c r="K622" s="8"/>
      <c r="L622" s="8"/>
      <c r="M622" s="8"/>
      <c r="N622" s="8"/>
    </row>
    <row r="623" spans="11:14" ht="15.75" customHeight="1" x14ac:dyDescent="0.3">
      <c r="K623" s="8"/>
      <c r="L623" s="8"/>
      <c r="M623" s="8"/>
      <c r="N623" s="8"/>
    </row>
    <row r="624" spans="11:14" ht="15.75" customHeight="1" x14ac:dyDescent="0.3">
      <c r="K624" s="8"/>
      <c r="L624" s="8"/>
      <c r="M624" s="8"/>
      <c r="N624" s="8"/>
    </row>
    <row r="625" spans="11:14" ht="15.75" customHeight="1" x14ac:dyDescent="0.3">
      <c r="K625" s="8"/>
      <c r="L625" s="8"/>
      <c r="M625" s="8"/>
      <c r="N625" s="8"/>
    </row>
    <row r="626" spans="11:14" ht="15.75" customHeight="1" x14ac:dyDescent="0.3">
      <c r="K626" s="8"/>
      <c r="L626" s="8"/>
      <c r="M626" s="8"/>
      <c r="N626" s="8"/>
    </row>
    <row r="627" spans="11:14" ht="15.75" customHeight="1" x14ac:dyDescent="0.3">
      <c r="K627" s="8"/>
      <c r="L627" s="8"/>
      <c r="M627" s="8"/>
      <c r="N627" s="8"/>
    </row>
    <row r="628" spans="11:14" ht="15.75" customHeight="1" x14ac:dyDescent="0.3">
      <c r="K628" s="8"/>
      <c r="L628" s="8"/>
      <c r="M628" s="8"/>
      <c r="N628" s="8"/>
    </row>
    <row r="629" spans="11:14" ht="15.75" customHeight="1" x14ac:dyDescent="0.3">
      <c r="K629" s="8"/>
      <c r="L629" s="8"/>
      <c r="M629" s="8"/>
      <c r="N629" s="8"/>
    </row>
    <row r="630" spans="11:14" ht="15.75" customHeight="1" x14ac:dyDescent="0.3">
      <c r="K630" s="8"/>
      <c r="L630" s="8"/>
      <c r="M630" s="8"/>
      <c r="N630" s="8"/>
    </row>
    <row r="631" spans="11:14" ht="15.75" customHeight="1" x14ac:dyDescent="0.3">
      <c r="K631" s="8"/>
      <c r="L631" s="8"/>
      <c r="M631" s="8"/>
      <c r="N631" s="8"/>
    </row>
    <row r="632" spans="11:14" ht="15.75" customHeight="1" x14ac:dyDescent="0.3">
      <c r="K632" s="8"/>
      <c r="L632" s="8"/>
      <c r="M632" s="8"/>
      <c r="N632" s="8"/>
    </row>
    <row r="633" spans="11:14" ht="15.75" customHeight="1" x14ac:dyDescent="0.3">
      <c r="K633" s="8"/>
      <c r="L633" s="8"/>
      <c r="M633" s="8"/>
      <c r="N633" s="8"/>
    </row>
    <row r="634" spans="11:14" ht="15.75" customHeight="1" x14ac:dyDescent="0.3">
      <c r="K634" s="8"/>
      <c r="L634" s="8"/>
      <c r="M634" s="8"/>
      <c r="N634" s="8"/>
    </row>
    <row r="635" spans="11:14" ht="15.75" customHeight="1" x14ac:dyDescent="0.3">
      <c r="K635" s="8"/>
      <c r="L635" s="8"/>
      <c r="M635" s="8"/>
      <c r="N635" s="8"/>
    </row>
    <row r="636" spans="11:14" ht="15.75" customHeight="1" x14ac:dyDescent="0.3">
      <c r="K636" s="8"/>
      <c r="L636" s="8"/>
      <c r="M636" s="8"/>
      <c r="N636" s="8"/>
    </row>
    <row r="637" spans="11:14" ht="15.75" customHeight="1" x14ac:dyDescent="0.3">
      <c r="K637" s="8"/>
      <c r="L637" s="8"/>
      <c r="M637" s="8"/>
      <c r="N637" s="8"/>
    </row>
    <row r="638" spans="11:14" ht="15.75" customHeight="1" x14ac:dyDescent="0.3">
      <c r="K638" s="8"/>
      <c r="L638" s="8"/>
      <c r="M638" s="8"/>
      <c r="N638" s="8"/>
    </row>
    <row r="639" spans="11:14" ht="15.75" customHeight="1" x14ac:dyDescent="0.3">
      <c r="K639" s="8"/>
      <c r="L639" s="8"/>
      <c r="M639" s="8"/>
      <c r="N639" s="8"/>
    </row>
    <row r="640" spans="11:14" ht="15.75" customHeight="1" x14ac:dyDescent="0.3">
      <c r="K640" s="8"/>
      <c r="L640" s="8"/>
      <c r="M640" s="8"/>
      <c r="N640" s="8"/>
    </row>
    <row r="641" spans="11:14" ht="15.75" customHeight="1" x14ac:dyDescent="0.3">
      <c r="K641" s="8"/>
      <c r="L641" s="8"/>
      <c r="M641" s="8"/>
      <c r="N641" s="8"/>
    </row>
    <row r="642" spans="11:14" ht="15.75" customHeight="1" x14ac:dyDescent="0.3">
      <c r="K642" s="8"/>
      <c r="L642" s="8"/>
      <c r="M642" s="8"/>
      <c r="N642" s="8"/>
    </row>
    <row r="643" spans="11:14" ht="15.75" customHeight="1" x14ac:dyDescent="0.3">
      <c r="K643" s="8"/>
      <c r="L643" s="8"/>
      <c r="M643" s="8"/>
      <c r="N643" s="8"/>
    </row>
    <row r="644" spans="11:14" ht="15.75" customHeight="1" x14ac:dyDescent="0.3">
      <c r="K644" s="8"/>
      <c r="L644" s="8"/>
      <c r="M644" s="8"/>
      <c r="N644" s="8"/>
    </row>
    <row r="645" spans="11:14" ht="15.75" customHeight="1" x14ac:dyDescent="0.3">
      <c r="K645" s="8"/>
      <c r="L645" s="8"/>
      <c r="M645" s="8"/>
      <c r="N645" s="8"/>
    </row>
    <row r="646" spans="11:14" ht="15.75" customHeight="1" x14ac:dyDescent="0.3">
      <c r="K646" s="8"/>
      <c r="L646" s="8"/>
      <c r="M646" s="8"/>
      <c r="N646" s="8"/>
    </row>
    <row r="647" spans="11:14" ht="15.75" customHeight="1" x14ac:dyDescent="0.3">
      <c r="K647" s="8"/>
      <c r="L647" s="8"/>
      <c r="M647" s="8"/>
      <c r="N647" s="8"/>
    </row>
    <row r="648" spans="11:14" ht="15.75" customHeight="1" x14ac:dyDescent="0.3">
      <c r="K648" s="8"/>
      <c r="L648" s="8"/>
      <c r="M648" s="8"/>
      <c r="N648" s="8"/>
    </row>
    <row r="649" spans="11:14" ht="15.75" customHeight="1" x14ac:dyDescent="0.3">
      <c r="K649" s="8"/>
      <c r="L649" s="8"/>
      <c r="M649" s="8"/>
      <c r="N649" s="8"/>
    </row>
    <row r="650" spans="11:14" ht="15.75" customHeight="1" x14ac:dyDescent="0.3">
      <c r="K650" s="8"/>
      <c r="L650" s="8"/>
      <c r="M650" s="8"/>
      <c r="N650" s="8"/>
    </row>
    <row r="651" spans="11:14" ht="15.75" customHeight="1" x14ac:dyDescent="0.3">
      <c r="K651" s="8"/>
      <c r="L651" s="8"/>
      <c r="M651" s="8"/>
      <c r="N651" s="8"/>
    </row>
    <row r="652" spans="11:14" ht="15.75" customHeight="1" x14ac:dyDescent="0.3">
      <c r="K652" s="8"/>
      <c r="L652" s="8"/>
      <c r="M652" s="8"/>
      <c r="N652" s="8"/>
    </row>
    <row r="653" spans="11:14" ht="15.75" customHeight="1" x14ac:dyDescent="0.3">
      <c r="K653" s="8"/>
      <c r="L653" s="8"/>
      <c r="M653" s="8"/>
      <c r="N653" s="8"/>
    </row>
    <row r="654" spans="11:14" ht="15.75" customHeight="1" x14ac:dyDescent="0.3">
      <c r="K654" s="8"/>
      <c r="L654" s="8"/>
      <c r="M654" s="8"/>
      <c r="N654" s="8"/>
    </row>
    <row r="655" spans="11:14" ht="15.75" customHeight="1" x14ac:dyDescent="0.3">
      <c r="K655" s="8"/>
      <c r="L655" s="8"/>
      <c r="M655" s="8"/>
      <c r="N655" s="8"/>
    </row>
    <row r="656" spans="11:14" ht="15.75" customHeight="1" x14ac:dyDescent="0.3">
      <c r="K656" s="8"/>
      <c r="L656" s="8"/>
      <c r="M656" s="8"/>
      <c r="N656" s="8"/>
    </row>
    <row r="657" spans="11:14" ht="15.75" customHeight="1" x14ac:dyDescent="0.3">
      <c r="K657" s="8"/>
      <c r="L657" s="8"/>
      <c r="M657" s="8"/>
      <c r="N657" s="8"/>
    </row>
    <row r="658" spans="11:14" ht="15.75" customHeight="1" x14ac:dyDescent="0.3">
      <c r="K658" s="8"/>
      <c r="L658" s="8"/>
      <c r="M658" s="8"/>
      <c r="N658" s="8"/>
    </row>
    <row r="659" spans="11:14" ht="15.75" customHeight="1" x14ac:dyDescent="0.3">
      <c r="K659" s="8"/>
      <c r="L659" s="8"/>
      <c r="M659" s="8"/>
      <c r="N659" s="8"/>
    </row>
    <row r="660" spans="11:14" ht="15.75" customHeight="1" x14ac:dyDescent="0.3">
      <c r="K660" s="8"/>
      <c r="L660" s="8"/>
      <c r="M660" s="8"/>
      <c r="N660" s="8"/>
    </row>
    <row r="661" spans="11:14" ht="15.75" customHeight="1" x14ac:dyDescent="0.3">
      <c r="K661" s="8"/>
      <c r="L661" s="8"/>
      <c r="M661" s="8"/>
      <c r="N661" s="8"/>
    </row>
    <row r="662" spans="11:14" ht="15.75" customHeight="1" x14ac:dyDescent="0.3">
      <c r="K662" s="8"/>
      <c r="L662" s="8"/>
      <c r="M662" s="8"/>
      <c r="N662" s="8"/>
    </row>
    <row r="663" spans="11:14" ht="15.75" customHeight="1" x14ac:dyDescent="0.3">
      <c r="K663" s="8"/>
      <c r="L663" s="8"/>
      <c r="M663" s="8"/>
      <c r="N663" s="8"/>
    </row>
    <row r="664" spans="11:14" ht="15.75" customHeight="1" x14ac:dyDescent="0.3">
      <c r="K664" s="8"/>
      <c r="L664" s="8"/>
      <c r="M664" s="8"/>
      <c r="N664" s="8"/>
    </row>
    <row r="665" spans="11:14" ht="15.75" customHeight="1" x14ac:dyDescent="0.3">
      <c r="K665" s="8"/>
      <c r="L665" s="8"/>
      <c r="M665" s="8"/>
      <c r="N665" s="8"/>
    </row>
    <row r="666" spans="11:14" ht="15.75" customHeight="1" x14ac:dyDescent="0.3">
      <c r="K666" s="8"/>
      <c r="L666" s="8"/>
      <c r="M666" s="8"/>
      <c r="N666" s="8"/>
    </row>
    <row r="667" spans="11:14" ht="15.75" customHeight="1" x14ac:dyDescent="0.3">
      <c r="K667" s="8"/>
      <c r="L667" s="8"/>
      <c r="M667" s="8"/>
      <c r="N667" s="8"/>
    </row>
    <row r="668" spans="11:14" ht="15.75" customHeight="1" x14ac:dyDescent="0.3">
      <c r="K668" s="8"/>
      <c r="L668" s="8"/>
      <c r="M668" s="8"/>
      <c r="N668" s="8"/>
    </row>
    <row r="669" spans="11:14" ht="15.75" customHeight="1" x14ac:dyDescent="0.3">
      <c r="K669" s="8"/>
      <c r="L669" s="8"/>
      <c r="M669" s="8"/>
      <c r="N669" s="8"/>
    </row>
    <row r="670" spans="11:14" ht="15.75" customHeight="1" x14ac:dyDescent="0.3">
      <c r="K670" s="8"/>
      <c r="L670" s="8"/>
      <c r="M670" s="8"/>
      <c r="N670" s="8"/>
    </row>
    <row r="671" spans="11:14" ht="15.75" customHeight="1" x14ac:dyDescent="0.3">
      <c r="K671" s="8"/>
      <c r="L671" s="8"/>
      <c r="M671" s="8"/>
      <c r="N671" s="8"/>
    </row>
    <row r="672" spans="11:14" ht="15.75" customHeight="1" x14ac:dyDescent="0.3">
      <c r="K672" s="8"/>
      <c r="L672" s="8"/>
      <c r="M672" s="8"/>
      <c r="N672" s="8"/>
    </row>
    <row r="673" spans="11:14" ht="15.75" customHeight="1" x14ac:dyDescent="0.3">
      <c r="K673" s="8"/>
      <c r="L673" s="8"/>
      <c r="M673" s="8"/>
      <c r="N673" s="8"/>
    </row>
    <row r="674" spans="11:14" ht="15.75" customHeight="1" x14ac:dyDescent="0.3">
      <c r="K674" s="8"/>
      <c r="L674" s="8"/>
      <c r="M674" s="8"/>
      <c r="N674" s="8"/>
    </row>
    <row r="675" spans="11:14" ht="15.75" customHeight="1" x14ac:dyDescent="0.3">
      <c r="K675" s="8"/>
      <c r="L675" s="8"/>
      <c r="M675" s="8"/>
      <c r="N675" s="8"/>
    </row>
    <row r="676" spans="11:14" ht="15.75" customHeight="1" x14ac:dyDescent="0.3">
      <c r="K676" s="8"/>
      <c r="L676" s="8"/>
      <c r="M676" s="8"/>
      <c r="N676" s="8"/>
    </row>
    <row r="677" spans="11:14" ht="15.75" customHeight="1" x14ac:dyDescent="0.3">
      <c r="K677" s="8"/>
      <c r="L677" s="8"/>
      <c r="M677" s="8"/>
      <c r="N677" s="8"/>
    </row>
    <row r="678" spans="11:14" ht="15.75" customHeight="1" x14ac:dyDescent="0.3">
      <c r="K678" s="8"/>
      <c r="L678" s="8"/>
      <c r="M678" s="8"/>
      <c r="N678" s="8"/>
    </row>
    <row r="679" spans="11:14" ht="15.75" customHeight="1" x14ac:dyDescent="0.3">
      <c r="K679" s="8"/>
      <c r="L679" s="8"/>
      <c r="M679" s="8"/>
      <c r="N679" s="8"/>
    </row>
    <row r="680" spans="11:14" ht="15.75" customHeight="1" x14ac:dyDescent="0.3">
      <c r="K680" s="8"/>
      <c r="L680" s="8"/>
      <c r="M680" s="8"/>
      <c r="N680" s="8"/>
    </row>
    <row r="681" spans="11:14" ht="15.75" customHeight="1" x14ac:dyDescent="0.3">
      <c r="K681" s="8"/>
      <c r="L681" s="8"/>
      <c r="M681" s="8"/>
      <c r="N681" s="8"/>
    </row>
    <row r="682" spans="11:14" ht="15.75" customHeight="1" x14ac:dyDescent="0.3">
      <c r="K682" s="8"/>
      <c r="L682" s="8"/>
      <c r="M682" s="8"/>
      <c r="N682" s="8"/>
    </row>
    <row r="683" spans="11:14" ht="15.75" customHeight="1" x14ac:dyDescent="0.3">
      <c r="K683" s="8"/>
      <c r="L683" s="8"/>
      <c r="M683" s="8"/>
      <c r="N683" s="8"/>
    </row>
    <row r="684" spans="11:14" ht="15.75" customHeight="1" x14ac:dyDescent="0.3">
      <c r="K684" s="8"/>
      <c r="L684" s="8"/>
      <c r="M684" s="8"/>
      <c r="N684" s="8"/>
    </row>
    <row r="685" spans="11:14" ht="15.75" customHeight="1" x14ac:dyDescent="0.3">
      <c r="K685" s="8"/>
      <c r="L685" s="8"/>
      <c r="M685" s="8"/>
      <c r="N685" s="8"/>
    </row>
    <row r="686" spans="11:14" ht="15.75" customHeight="1" x14ac:dyDescent="0.3">
      <c r="K686" s="8"/>
      <c r="L686" s="8"/>
      <c r="M686" s="8"/>
      <c r="N686" s="8"/>
    </row>
    <row r="687" spans="11:14" ht="15.75" customHeight="1" x14ac:dyDescent="0.3">
      <c r="K687" s="8"/>
      <c r="L687" s="8"/>
      <c r="M687" s="8"/>
      <c r="N687" s="8"/>
    </row>
    <row r="688" spans="11:14" ht="15.75" customHeight="1" x14ac:dyDescent="0.3">
      <c r="K688" s="8"/>
      <c r="L688" s="8"/>
      <c r="M688" s="8"/>
      <c r="N688" s="8"/>
    </row>
    <row r="689" spans="11:14" ht="15.75" customHeight="1" x14ac:dyDescent="0.3">
      <c r="K689" s="8"/>
      <c r="L689" s="8"/>
      <c r="M689" s="8"/>
      <c r="N689" s="8"/>
    </row>
    <row r="690" spans="11:14" ht="15.75" customHeight="1" x14ac:dyDescent="0.3">
      <c r="K690" s="8"/>
      <c r="L690" s="8"/>
      <c r="M690" s="8"/>
      <c r="N690" s="8"/>
    </row>
    <row r="691" spans="11:14" ht="15.75" customHeight="1" x14ac:dyDescent="0.3">
      <c r="K691" s="8"/>
      <c r="L691" s="8"/>
      <c r="M691" s="8"/>
      <c r="N691" s="8"/>
    </row>
    <row r="692" spans="11:14" ht="15.75" customHeight="1" x14ac:dyDescent="0.3">
      <c r="K692" s="8"/>
      <c r="L692" s="8"/>
      <c r="M692" s="8"/>
      <c r="N692" s="8"/>
    </row>
    <row r="693" spans="11:14" ht="15.75" customHeight="1" x14ac:dyDescent="0.3">
      <c r="K693" s="8"/>
      <c r="L693" s="8"/>
      <c r="M693" s="8"/>
      <c r="N693" s="8"/>
    </row>
    <row r="694" spans="11:14" ht="15.75" customHeight="1" x14ac:dyDescent="0.3">
      <c r="K694" s="8"/>
      <c r="L694" s="8"/>
      <c r="M694" s="8"/>
      <c r="N694" s="8"/>
    </row>
    <row r="695" spans="11:14" ht="15.75" customHeight="1" x14ac:dyDescent="0.3">
      <c r="K695" s="8"/>
      <c r="L695" s="8"/>
      <c r="M695" s="8"/>
      <c r="N695" s="8"/>
    </row>
    <row r="696" spans="11:14" ht="15.75" customHeight="1" x14ac:dyDescent="0.3">
      <c r="K696" s="8"/>
      <c r="L696" s="8"/>
      <c r="M696" s="8"/>
      <c r="N696" s="8"/>
    </row>
    <row r="697" spans="11:14" ht="15.75" customHeight="1" x14ac:dyDescent="0.3">
      <c r="K697" s="8"/>
      <c r="L697" s="8"/>
      <c r="M697" s="8"/>
      <c r="N697" s="8"/>
    </row>
    <row r="698" spans="11:14" ht="15.75" customHeight="1" x14ac:dyDescent="0.3">
      <c r="K698" s="8"/>
      <c r="L698" s="8"/>
      <c r="M698" s="8"/>
      <c r="N698" s="8"/>
    </row>
    <row r="699" spans="11:14" ht="15.75" customHeight="1" x14ac:dyDescent="0.3">
      <c r="K699" s="8"/>
      <c r="L699" s="8"/>
      <c r="M699" s="8"/>
      <c r="N699" s="8"/>
    </row>
    <row r="700" spans="11:14" ht="15.75" customHeight="1" x14ac:dyDescent="0.3">
      <c r="K700" s="8"/>
      <c r="L700" s="8"/>
      <c r="M700" s="8"/>
      <c r="N700" s="8"/>
    </row>
    <row r="701" spans="11:14" ht="15.75" customHeight="1" x14ac:dyDescent="0.3">
      <c r="K701" s="8"/>
      <c r="L701" s="8"/>
      <c r="M701" s="8"/>
      <c r="N701" s="8"/>
    </row>
    <row r="702" spans="11:14" ht="15.75" customHeight="1" x14ac:dyDescent="0.3">
      <c r="K702" s="8"/>
      <c r="L702" s="8"/>
      <c r="M702" s="8"/>
      <c r="N702" s="8"/>
    </row>
    <row r="703" spans="11:14" ht="15.75" customHeight="1" x14ac:dyDescent="0.3">
      <c r="K703" s="8"/>
      <c r="L703" s="8"/>
      <c r="M703" s="8"/>
      <c r="N703" s="8"/>
    </row>
    <row r="704" spans="11:14" ht="15.75" customHeight="1" x14ac:dyDescent="0.3">
      <c r="K704" s="8"/>
      <c r="L704" s="8"/>
      <c r="M704" s="8"/>
      <c r="N704" s="8"/>
    </row>
    <row r="705" spans="11:14" ht="15.75" customHeight="1" x14ac:dyDescent="0.3">
      <c r="K705" s="8"/>
      <c r="L705" s="8"/>
      <c r="M705" s="8"/>
      <c r="N705" s="8"/>
    </row>
    <row r="706" spans="11:14" ht="15.75" customHeight="1" x14ac:dyDescent="0.3">
      <c r="K706" s="8"/>
      <c r="L706" s="8"/>
      <c r="M706" s="8"/>
      <c r="N706" s="8"/>
    </row>
    <row r="707" spans="11:14" ht="15.75" customHeight="1" x14ac:dyDescent="0.3">
      <c r="K707" s="8"/>
      <c r="L707" s="8"/>
      <c r="M707" s="8"/>
      <c r="N707" s="8"/>
    </row>
    <row r="708" spans="11:14" ht="15.75" customHeight="1" x14ac:dyDescent="0.3">
      <c r="K708" s="8"/>
      <c r="L708" s="8"/>
      <c r="M708" s="8"/>
      <c r="N708" s="8"/>
    </row>
    <row r="709" spans="11:14" ht="15.75" customHeight="1" x14ac:dyDescent="0.3">
      <c r="K709" s="8"/>
      <c r="L709" s="8"/>
      <c r="M709" s="8"/>
      <c r="N709" s="8"/>
    </row>
    <row r="710" spans="11:14" ht="15.75" customHeight="1" x14ac:dyDescent="0.3">
      <c r="K710" s="8"/>
      <c r="L710" s="8"/>
      <c r="M710" s="8"/>
      <c r="N710" s="8"/>
    </row>
    <row r="711" spans="11:14" ht="15.75" customHeight="1" x14ac:dyDescent="0.3">
      <c r="K711" s="8"/>
      <c r="L711" s="8"/>
      <c r="M711" s="8"/>
      <c r="N711" s="8"/>
    </row>
    <row r="712" spans="11:14" ht="15.75" customHeight="1" x14ac:dyDescent="0.3">
      <c r="K712" s="8"/>
      <c r="L712" s="8"/>
      <c r="M712" s="8"/>
      <c r="N712" s="8"/>
    </row>
    <row r="713" spans="11:14" ht="15.75" customHeight="1" x14ac:dyDescent="0.3">
      <c r="K713" s="8"/>
      <c r="L713" s="8"/>
      <c r="M713" s="8"/>
      <c r="N713" s="8"/>
    </row>
    <row r="714" spans="11:14" ht="15.75" customHeight="1" x14ac:dyDescent="0.3">
      <c r="K714" s="8"/>
      <c r="L714" s="8"/>
      <c r="M714" s="8"/>
      <c r="N714" s="8"/>
    </row>
    <row r="715" spans="11:14" ht="15.75" customHeight="1" x14ac:dyDescent="0.3">
      <c r="K715" s="8"/>
      <c r="L715" s="8"/>
      <c r="M715" s="8"/>
      <c r="N715" s="8"/>
    </row>
    <row r="716" spans="11:14" ht="15.75" customHeight="1" x14ac:dyDescent="0.3">
      <c r="K716" s="8"/>
      <c r="L716" s="8"/>
      <c r="M716" s="8"/>
      <c r="N716" s="8"/>
    </row>
    <row r="717" spans="11:14" ht="15.75" customHeight="1" x14ac:dyDescent="0.3">
      <c r="K717" s="8"/>
      <c r="L717" s="8"/>
      <c r="M717" s="8"/>
      <c r="N717" s="8"/>
    </row>
    <row r="718" spans="11:14" ht="15.75" customHeight="1" x14ac:dyDescent="0.3">
      <c r="K718" s="8"/>
      <c r="L718" s="8"/>
      <c r="M718" s="8"/>
      <c r="N718" s="8"/>
    </row>
    <row r="719" spans="11:14" ht="15.75" customHeight="1" x14ac:dyDescent="0.3">
      <c r="K719" s="8"/>
      <c r="L719" s="8"/>
      <c r="M719" s="8"/>
      <c r="N719" s="8"/>
    </row>
    <row r="720" spans="11:14" ht="15.75" customHeight="1" x14ac:dyDescent="0.3">
      <c r="K720" s="8"/>
      <c r="L720" s="8"/>
      <c r="M720" s="8"/>
      <c r="N720" s="8"/>
    </row>
    <row r="721" spans="11:14" ht="15.75" customHeight="1" x14ac:dyDescent="0.3">
      <c r="K721" s="8"/>
      <c r="L721" s="8"/>
      <c r="M721" s="8"/>
      <c r="N721" s="8"/>
    </row>
    <row r="722" spans="11:14" ht="15.75" customHeight="1" x14ac:dyDescent="0.3">
      <c r="K722" s="8"/>
      <c r="L722" s="8"/>
      <c r="M722" s="8"/>
      <c r="N722" s="8"/>
    </row>
    <row r="723" spans="11:14" ht="15.75" customHeight="1" x14ac:dyDescent="0.3">
      <c r="K723" s="8"/>
      <c r="L723" s="8"/>
      <c r="M723" s="8"/>
      <c r="N723" s="8"/>
    </row>
    <row r="724" spans="11:14" ht="15.75" customHeight="1" x14ac:dyDescent="0.3">
      <c r="K724" s="8"/>
      <c r="L724" s="8"/>
      <c r="M724" s="8"/>
      <c r="N724" s="8"/>
    </row>
    <row r="725" spans="11:14" ht="15.75" customHeight="1" x14ac:dyDescent="0.3">
      <c r="K725" s="8"/>
      <c r="L725" s="8"/>
      <c r="M725" s="8"/>
      <c r="N725" s="8"/>
    </row>
    <row r="726" spans="11:14" ht="15.75" customHeight="1" x14ac:dyDescent="0.3">
      <c r="K726" s="8"/>
      <c r="L726" s="8"/>
      <c r="M726" s="8"/>
      <c r="N726" s="8"/>
    </row>
    <row r="727" spans="11:14" ht="15.75" customHeight="1" x14ac:dyDescent="0.3">
      <c r="K727" s="8"/>
      <c r="L727" s="8"/>
      <c r="M727" s="8"/>
      <c r="N727" s="8"/>
    </row>
    <row r="728" spans="11:14" ht="15.75" customHeight="1" x14ac:dyDescent="0.3">
      <c r="K728" s="8"/>
      <c r="L728" s="8"/>
      <c r="M728" s="8"/>
      <c r="N728" s="8"/>
    </row>
    <row r="729" spans="11:14" ht="15.75" customHeight="1" x14ac:dyDescent="0.3">
      <c r="K729" s="8"/>
      <c r="L729" s="8"/>
      <c r="M729" s="8"/>
      <c r="N729" s="8"/>
    </row>
    <row r="730" spans="11:14" ht="15.75" customHeight="1" x14ac:dyDescent="0.3">
      <c r="K730" s="8"/>
      <c r="L730" s="8"/>
      <c r="M730" s="8"/>
      <c r="N730" s="8"/>
    </row>
    <row r="731" spans="11:14" ht="15.75" customHeight="1" x14ac:dyDescent="0.3">
      <c r="K731" s="8"/>
      <c r="L731" s="8"/>
      <c r="M731" s="8"/>
      <c r="N731" s="8"/>
    </row>
    <row r="732" spans="11:14" ht="15.75" customHeight="1" x14ac:dyDescent="0.3">
      <c r="K732" s="8"/>
      <c r="L732" s="8"/>
      <c r="M732" s="8"/>
      <c r="N732" s="8"/>
    </row>
    <row r="733" spans="11:14" ht="15.75" customHeight="1" x14ac:dyDescent="0.3">
      <c r="K733" s="8"/>
      <c r="L733" s="8"/>
      <c r="M733" s="8"/>
      <c r="N733" s="8"/>
    </row>
    <row r="734" spans="11:14" ht="15.75" customHeight="1" x14ac:dyDescent="0.3">
      <c r="K734" s="8"/>
      <c r="L734" s="8"/>
      <c r="M734" s="8"/>
      <c r="N734" s="8"/>
    </row>
    <row r="735" spans="11:14" ht="15.75" customHeight="1" x14ac:dyDescent="0.3">
      <c r="K735" s="8"/>
      <c r="L735" s="8"/>
      <c r="M735" s="8"/>
      <c r="N735" s="8"/>
    </row>
    <row r="736" spans="11:14" ht="15.75" customHeight="1" x14ac:dyDescent="0.3">
      <c r="K736" s="8"/>
      <c r="L736" s="8"/>
      <c r="M736" s="8"/>
      <c r="N736" s="8"/>
    </row>
    <row r="737" spans="11:14" ht="15.75" customHeight="1" x14ac:dyDescent="0.3">
      <c r="K737" s="8"/>
      <c r="L737" s="8"/>
      <c r="M737" s="8"/>
      <c r="N737" s="8"/>
    </row>
    <row r="738" spans="11:14" ht="15.75" customHeight="1" x14ac:dyDescent="0.3">
      <c r="K738" s="8"/>
      <c r="L738" s="8"/>
      <c r="M738" s="8"/>
      <c r="N738" s="8"/>
    </row>
    <row r="739" spans="11:14" ht="15.75" customHeight="1" x14ac:dyDescent="0.3">
      <c r="K739" s="8"/>
      <c r="L739" s="8"/>
      <c r="M739" s="8"/>
      <c r="N739" s="8"/>
    </row>
    <row r="740" spans="11:14" ht="15.75" customHeight="1" x14ac:dyDescent="0.3">
      <c r="K740" s="8"/>
      <c r="L740" s="8"/>
      <c r="M740" s="8"/>
      <c r="N740" s="8"/>
    </row>
    <row r="741" spans="11:14" ht="15.75" customHeight="1" x14ac:dyDescent="0.3">
      <c r="K741" s="8"/>
      <c r="L741" s="8"/>
      <c r="M741" s="8"/>
      <c r="N741" s="8"/>
    </row>
    <row r="742" spans="11:14" ht="15.75" customHeight="1" x14ac:dyDescent="0.3">
      <c r="K742" s="8"/>
      <c r="L742" s="8"/>
      <c r="M742" s="8"/>
      <c r="N742" s="8"/>
    </row>
    <row r="743" spans="11:14" ht="15.75" customHeight="1" x14ac:dyDescent="0.3">
      <c r="K743" s="8"/>
      <c r="L743" s="8"/>
      <c r="M743" s="8"/>
      <c r="N743" s="8"/>
    </row>
    <row r="744" spans="11:14" ht="15.75" customHeight="1" x14ac:dyDescent="0.3">
      <c r="K744" s="8"/>
      <c r="L744" s="8"/>
      <c r="M744" s="8"/>
      <c r="N744" s="8"/>
    </row>
    <row r="745" spans="11:14" ht="15.75" customHeight="1" x14ac:dyDescent="0.3">
      <c r="K745" s="8"/>
      <c r="L745" s="8"/>
      <c r="M745" s="8"/>
      <c r="N745" s="8"/>
    </row>
    <row r="746" spans="11:14" ht="15.75" customHeight="1" x14ac:dyDescent="0.3">
      <c r="K746" s="8"/>
      <c r="L746" s="8"/>
      <c r="M746" s="8"/>
      <c r="N746" s="8"/>
    </row>
    <row r="747" spans="11:14" ht="15.75" customHeight="1" x14ac:dyDescent="0.3">
      <c r="K747" s="8"/>
      <c r="L747" s="8"/>
      <c r="M747" s="8"/>
      <c r="N747" s="8"/>
    </row>
    <row r="748" spans="11:14" ht="15.75" customHeight="1" x14ac:dyDescent="0.3">
      <c r="K748" s="8"/>
      <c r="L748" s="8"/>
      <c r="M748" s="8"/>
      <c r="N748" s="8"/>
    </row>
    <row r="749" spans="11:14" ht="15.75" customHeight="1" x14ac:dyDescent="0.3">
      <c r="K749" s="8"/>
      <c r="L749" s="8"/>
      <c r="M749" s="8"/>
      <c r="N749" s="8"/>
    </row>
    <row r="750" spans="11:14" ht="15.75" customHeight="1" x14ac:dyDescent="0.3">
      <c r="K750" s="8"/>
      <c r="L750" s="8"/>
      <c r="M750" s="8"/>
      <c r="N750" s="8"/>
    </row>
    <row r="751" spans="11:14" ht="15.75" customHeight="1" x14ac:dyDescent="0.3">
      <c r="K751" s="8"/>
      <c r="L751" s="8"/>
      <c r="M751" s="8"/>
      <c r="N751" s="8"/>
    </row>
    <row r="752" spans="11:14" ht="15.75" customHeight="1" x14ac:dyDescent="0.3">
      <c r="K752" s="8"/>
      <c r="L752" s="8"/>
      <c r="M752" s="8"/>
      <c r="N752" s="8"/>
    </row>
    <row r="753" spans="11:14" ht="15.75" customHeight="1" x14ac:dyDescent="0.3">
      <c r="K753" s="8"/>
      <c r="L753" s="8"/>
      <c r="M753" s="8"/>
      <c r="N753" s="8"/>
    </row>
    <row r="754" spans="11:14" ht="15.75" customHeight="1" x14ac:dyDescent="0.3">
      <c r="K754" s="8"/>
      <c r="L754" s="8"/>
      <c r="M754" s="8"/>
      <c r="N754" s="8"/>
    </row>
    <row r="755" spans="11:14" ht="15.75" customHeight="1" x14ac:dyDescent="0.3">
      <c r="K755" s="8"/>
      <c r="L755" s="8"/>
      <c r="M755" s="8"/>
      <c r="N755" s="8"/>
    </row>
    <row r="756" spans="11:14" ht="15.75" customHeight="1" x14ac:dyDescent="0.3">
      <c r="K756" s="8"/>
      <c r="L756" s="8"/>
      <c r="M756" s="8"/>
      <c r="N756" s="8"/>
    </row>
    <row r="757" spans="11:14" ht="15.75" customHeight="1" x14ac:dyDescent="0.3">
      <c r="K757" s="8"/>
      <c r="L757" s="8"/>
      <c r="M757" s="8"/>
      <c r="N757" s="8"/>
    </row>
    <row r="758" spans="11:14" ht="15.75" customHeight="1" x14ac:dyDescent="0.3">
      <c r="K758" s="8"/>
      <c r="L758" s="8"/>
      <c r="M758" s="8"/>
      <c r="N758" s="8"/>
    </row>
    <row r="759" spans="11:14" ht="15.75" customHeight="1" x14ac:dyDescent="0.3">
      <c r="K759" s="8"/>
      <c r="L759" s="8"/>
      <c r="M759" s="8"/>
      <c r="N759" s="8"/>
    </row>
    <row r="760" spans="11:14" ht="15.75" customHeight="1" x14ac:dyDescent="0.3">
      <c r="K760" s="8"/>
      <c r="L760" s="8"/>
      <c r="M760" s="8"/>
      <c r="N760" s="8"/>
    </row>
    <row r="761" spans="11:14" ht="15.75" customHeight="1" x14ac:dyDescent="0.3">
      <c r="K761" s="8"/>
      <c r="L761" s="8"/>
      <c r="M761" s="8"/>
      <c r="N761" s="8"/>
    </row>
    <row r="762" spans="11:14" ht="15.75" customHeight="1" x14ac:dyDescent="0.3">
      <c r="K762" s="8"/>
      <c r="L762" s="8"/>
      <c r="M762" s="8"/>
      <c r="N762" s="8"/>
    </row>
    <row r="763" spans="11:14" ht="15.75" customHeight="1" x14ac:dyDescent="0.3">
      <c r="K763" s="8"/>
      <c r="L763" s="8"/>
      <c r="M763" s="8"/>
      <c r="N763" s="8"/>
    </row>
    <row r="764" spans="11:14" ht="15.75" customHeight="1" x14ac:dyDescent="0.3">
      <c r="K764" s="8"/>
      <c r="L764" s="8"/>
      <c r="M764" s="8"/>
      <c r="N764" s="8"/>
    </row>
    <row r="765" spans="11:14" ht="15.75" customHeight="1" x14ac:dyDescent="0.3">
      <c r="K765" s="8"/>
      <c r="L765" s="8"/>
      <c r="M765" s="8"/>
      <c r="N765" s="8"/>
    </row>
    <row r="766" spans="11:14" ht="15.75" customHeight="1" x14ac:dyDescent="0.3">
      <c r="K766" s="8"/>
      <c r="L766" s="8"/>
      <c r="M766" s="8"/>
      <c r="N766" s="8"/>
    </row>
    <row r="767" spans="11:14" ht="15.75" customHeight="1" x14ac:dyDescent="0.3">
      <c r="K767" s="8"/>
      <c r="L767" s="8"/>
      <c r="M767" s="8"/>
      <c r="N767" s="8"/>
    </row>
    <row r="768" spans="11:14" ht="15.75" customHeight="1" x14ac:dyDescent="0.3">
      <c r="K768" s="8"/>
      <c r="L768" s="8"/>
      <c r="M768" s="8"/>
      <c r="N768" s="8"/>
    </row>
    <row r="769" spans="11:14" ht="15.75" customHeight="1" x14ac:dyDescent="0.3">
      <c r="K769" s="8"/>
      <c r="L769" s="8"/>
      <c r="M769" s="8"/>
      <c r="N769" s="8"/>
    </row>
    <row r="770" spans="11:14" ht="15.75" customHeight="1" x14ac:dyDescent="0.3">
      <c r="K770" s="8"/>
      <c r="L770" s="8"/>
      <c r="M770" s="8"/>
      <c r="N770" s="8"/>
    </row>
    <row r="771" spans="11:14" ht="15.75" customHeight="1" x14ac:dyDescent="0.3">
      <c r="K771" s="8"/>
      <c r="L771" s="8"/>
      <c r="M771" s="8"/>
      <c r="N771" s="8"/>
    </row>
    <row r="772" spans="11:14" ht="15.75" customHeight="1" x14ac:dyDescent="0.3">
      <c r="K772" s="8"/>
      <c r="L772" s="8"/>
      <c r="M772" s="8"/>
      <c r="N772" s="8"/>
    </row>
    <row r="773" spans="11:14" ht="15.75" customHeight="1" x14ac:dyDescent="0.3">
      <c r="K773" s="8"/>
      <c r="L773" s="8"/>
      <c r="M773" s="8"/>
      <c r="N773" s="8"/>
    </row>
    <row r="774" spans="11:14" ht="15.75" customHeight="1" x14ac:dyDescent="0.3">
      <c r="K774" s="8"/>
      <c r="L774" s="8"/>
      <c r="M774" s="8"/>
      <c r="N774" s="8"/>
    </row>
    <row r="775" spans="11:14" ht="15.75" customHeight="1" x14ac:dyDescent="0.3">
      <c r="K775" s="8"/>
      <c r="L775" s="8"/>
      <c r="M775" s="8"/>
      <c r="N775" s="8"/>
    </row>
    <row r="776" spans="11:14" ht="15.75" customHeight="1" x14ac:dyDescent="0.3">
      <c r="K776" s="8"/>
      <c r="L776" s="8"/>
      <c r="M776" s="8"/>
      <c r="N776" s="8"/>
    </row>
    <row r="777" spans="11:14" ht="15.75" customHeight="1" x14ac:dyDescent="0.3">
      <c r="K777" s="8"/>
      <c r="L777" s="8"/>
      <c r="M777" s="8"/>
      <c r="N777" s="8"/>
    </row>
    <row r="778" spans="11:14" ht="15.75" customHeight="1" x14ac:dyDescent="0.3">
      <c r="K778" s="8"/>
      <c r="L778" s="8"/>
      <c r="M778" s="8"/>
      <c r="N778" s="8"/>
    </row>
    <row r="779" spans="11:14" ht="15.75" customHeight="1" x14ac:dyDescent="0.3">
      <c r="K779" s="8"/>
      <c r="L779" s="8"/>
      <c r="M779" s="8"/>
      <c r="N779" s="8"/>
    </row>
    <row r="780" spans="11:14" ht="15.75" customHeight="1" x14ac:dyDescent="0.3">
      <c r="K780" s="8"/>
      <c r="L780" s="8"/>
      <c r="M780" s="8"/>
      <c r="N780" s="8"/>
    </row>
    <row r="781" spans="11:14" ht="15.75" customHeight="1" x14ac:dyDescent="0.3">
      <c r="K781" s="8"/>
      <c r="L781" s="8"/>
      <c r="M781" s="8"/>
      <c r="N781" s="8"/>
    </row>
    <row r="782" spans="11:14" ht="15.75" customHeight="1" x14ac:dyDescent="0.3">
      <c r="K782" s="8"/>
      <c r="L782" s="8"/>
      <c r="M782" s="8"/>
      <c r="N782" s="8"/>
    </row>
    <row r="783" spans="11:14" ht="15.75" customHeight="1" x14ac:dyDescent="0.3">
      <c r="K783" s="8"/>
      <c r="L783" s="8"/>
      <c r="M783" s="8"/>
      <c r="N783" s="8"/>
    </row>
    <row r="784" spans="11:14" ht="15.75" customHeight="1" x14ac:dyDescent="0.3">
      <c r="K784" s="8"/>
      <c r="L784" s="8"/>
      <c r="M784" s="8"/>
      <c r="N784" s="8"/>
    </row>
    <row r="785" spans="11:14" ht="15.75" customHeight="1" x14ac:dyDescent="0.3">
      <c r="K785" s="8"/>
      <c r="L785" s="8"/>
      <c r="M785" s="8"/>
      <c r="N785" s="8"/>
    </row>
    <row r="786" spans="11:14" ht="15.75" customHeight="1" x14ac:dyDescent="0.3">
      <c r="K786" s="8"/>
      <c r="L786" s="8"/>
      <c r="M786" s="8"/>
      <c r="N786" s="8"/>
    </row>
    <row r="787" spans="11:14" ht="15.75" customHeight="1" x14ac:dyDescent="0.3">
      <c r="K787" s="8"/>
      <c r="L787" s="8"/>
      <c r="M787" s="8"/>
      <c r="N787" s="8"/>
    </row>
    <row r="788" spans="11:14" ht="15.75" customHeight="1" x14ac:dyDescent="0.3">
      <c r="K788" s="8"/>
      <c r="L788" s="8"/>
      <c r="M788" s="8"/>
      <c r="N788" s="8"/>
    </row>
    <row r="789" spans="11:14" ht="15.75" customHeight="1" x14ac:dyDescent="0.3">
      <c r="K789" s="8"/>
      <c r="L789" s="8"/>
      <c r="M789" s="8"/>
      <c r="N789" s="8"/>
    </row>
    <row r="790" spans="11:14" ht="15.75" customHeight="1" x14ac:dyDescent="0.3">
      <c r="K790" s="8"/>
      <c r="L790" s="8"/>
      <c r="M790" s="8"/>
      <c r="N790" s="8"/>
    </row>
    <row r="791" spans="11:14" ht="15.75" customHeight="1" x14ac:dyDescent="0.3">
      <c r="K791" s="8"/>
      <c r="L791" s="8"/>
      <c r="M791" s="8"/>
      <c r="N791" s="8"/>
    </row>
    <row r="792" spans="11:14" ht="15.75" customHeight="1" x14ac:dyDescent="0.3">
      <c r="K792" s="8"/>
      <c r="L792" s="8"/>
      <c r="M792" s="8"/>
      <c r="N792" s="8"/>
    </row>
    <row r="793" spans="11:14" ht="15.75" customHeight="1" x14ac:dyDescent="0.3">
      <c r="K793" s="8"/>
      <c r="L793" s="8"/>
      <c r="M793" s="8"/>
      <c r="N793" s="8"/>
    </row>
    <row r="794" spans="11:14" ht="15.75" customHeight="1" x14ac:dyDescent="0.3">
      <c r="K794" s="8"/>
      <c r="L794" s="8"/>
      <c r="M794" s="8"/>
      <c r="N794" s="8"/>
    </row>
    <row r="795" spans="11:14" ht="15.75" customHeight="1" x14ac:dyDescent="0.3">
      <c r="K795" s="8"/>
      <c r="L795" s="8"/>
      <c r="M795" s="8"/>
      <c r="N795" s="8"/>
    </row>
    <row r="796" spans="11:14" ht="15.75" customHeight="1" x14ac:dyDescent="0.3">
      <c r="K796" s="8"/>
      <c r="L796" s="8"/>
      <c r="M796" s="8"/>
      <c r="N796" s="8"/>
    </row>
    <row r="797" spans="11:14" ht="15.75" customHeight="1" x14ac:dyDescent="0.3">
      <c r="K797" s="8"/>
      <c r="L797" s="8"/>
      <c r="M797" s="8"/>
      <c r="N797" s="8"/>
    </row>
    <row r="798" spans="11:14" ht="15.75" customHeight="1" x14ac:dyDescent="0.3">
      <c r="K798" s="8"/>
      <c r="L798" s="8"/>
      <c r="M798" s="8"/>
      <c r="N798" s="8"/>
    </row>
    <row r="799" spans="11:14" ht="15.75" customHeight="1" x14ac:dyDescent="0.3">
      <c r="K799" s="8"/>
      <c r="L799" s="8"/>
      <c r="M799" s="8"/>
      <c r="N799" s="8"/>
    </row>
    <row r="800" spans="11:14" ht="15.75" customHeight="1" x14ac:dyDescent="0.3">
      <c r="K800" s="8"/>
      <c r="L800" s="8"/>
      <c r="M800" s="8"/>
      <c r="N800" s="8"/>
    </row>
    <row r="801" spans="11:14" ht="15.75" customHeight="1" x14ac:dyDescent="0.3">
      <c r="K801" s="8"/>
      <c r="L801" s="8"/>
      <c r="M801" s="8"/>
      <c r="N801" s="8"/>
    </row>
    <row r="802" spans="11:14" ht="15.75" customHeight="1" x14ac:dyDescent="0.3">
      <c r="K802" s="8"/>
      <c r="L802" s="8"/>
      <c r="M802" s="8"/>
      <c r="N802" s="8"/>
    </row>
    <row r="803" spans="11:14" ht="15.75" customHeight="1" x14ac:dyDescent="0.3">
      <c r="K803" s="8"/>
      <c r="L803" s="8"/>
      <c r="M803" s="8"/>
      <c r="N803" s="8"/>
    </row>
    <row r="804" spans="11:14" ht="15.75" customHeight="1" x14ac:dyDescent="0.3">
      <c r="K804" s="8"/>
      <c r="L804" s="8"/>
      <c r="M804" s="8"/>
      <c r="N804" s="8"/>
    </row>
    <row r="805" spans="11:14" ht="15.75" customHeight="1" x14ac:dyDescent="0.3">
      <c r="K805" s="8"/>
      <c r="L805" s="8"/>
      <c r="M805" s="8"/>
      <c r="N805" s="8"/>
    </row>
    <row r="806" spans="11:14" ht="15.75" customHeight="1" x14ac:dyDescent="0.3">
      <c r="K806" s="8"/>
      <c r="L806" s="8"/>
      <c r="M806" s="8"/>
      <c r="N806" s="8"/>
    </row>
    <row r="807" spans="11:14" ht="15.75" customHeight="1" x14ac:dyDescent="0.3">
      <c r="K807" s="8"/>
      <c r="L807" s="8"/>
      <c r="M807" s="8"/>
      <c r="N807" s="8"/>
    </row>
    <row r="808" spans="11:14" ht="15.75" customHeight="1" x14ac:dyDescent="0.3">
      <c r="K808" s="8"/>
      <c r="L808" s="8"/>
      <c r="M808" s="8"/>
      <c r="N808" s="8"/>
    </row>
    <row r="809" spans="11:14" ht="15.75" customHeight="1" x14ac:dyDescent="0.3">
      <c r="K809" s="8"/>
      <c r="L809" s="8"/>
      <c r="M809" s="8"/>
      <c r="N809" s="8"/>
    </row>
    <row r="810" spans="11:14" ht="15.75" customHeight="1" x14ac:dyDescent="0.3">
      <c r="K810" s="8"/>
      <c r="L810" s="8"/>
      <c r="M810" s="8"/>
      <c r="N810" s="8"/>
    </row>
    <row r="811" spans="11:14" ht="15.75" customHeight="1" x14ac:dyDescent="0.3">
      <c r="K811" s="8"/>
      <c r="L811" s="8"/>
      <c r="M811" s="8"/>
      <c r="N811" s="8"/>
    </row>
    <row r="812" spans="11:14" ht="15.75" customHeight="1" x14ac:dyDescent="0.3">
      <c r="K812" s="8"/>
      <c r="L812" s="8"/>
      <c r="M812" s="8"/>
      <c r="N812" s="8"/>
    </row>
    <row r="813" spans="11:14" ht="15.75" customHeight="1" x14ac:dyDescent="0.3">
      <c r="K813" s="8"/>
      <c r="L813" s="8"/>
      <c r="M813" s="8"/>
      <c r="N813" s="8"/>
    </row>
    <row r="814" spans="11:14" ht="15.75" customHeight="1" x14ac:dyDescent="0.3">
      <c r="K814" s="8"/>
      <c r="L814" s="8"/>
      <c r="M814" s="8"/>
      <c r="N814" s="8"/>
    </row>
    <row r="815" spans="11:14" ht="15.75" customHeight="1" x14ac:dyDescent="0.3">
      <c r="K815" s="8"/>
      <c r="L815" s="8"/>
      <c r="M815" s="8"/>
      <c r="N815" s="8"/>
    </row>
    <row r="816" spans="11:14" ht="15.75" customHeight="1" x14ac:dyDescent="0.3">
      <c r="K816" s="8"/>
      <c r="L816" s="8"/>
      <c r="M816" s="8"/>
      <c r="N816" s="8"/>
    </row>
    <row r="817" spans="11:14" ht="15.75" customHeight="1" x14ac:dyDescent="0.3">
      <c r="K817" s="8"/>
      <c r="L817" s="8"/>
      <c r="M817" s="8"/>
      <c r="N817" s="8"/>
    </row>
    <row r="818" spans="11:14" ht="15.75" customHeight="1" x14ac:dyDescent="0.3">
      <c r="K818" s="8"/>
      <c r="L818" s="8"/>
      <c r="M818" s="8"/>
      <c r="N818" s="8"/>
    </row>
    <row r="819" spans="11:14" ht="15.75" customHeight="1" x14ac:dyDescent="0.3">
      <c r="K819" s="8"/>
      <c r="L819" s="8"/>
      <c r="M819" s="8"/>
      <c r="N819" s="8"/>
    </row>
    <row r="820" spans="11:14" ht="15.75" customHeight="1" x14ac:dyDescent="0.3">
      <c r="K820" s="8"/>
      <c r="L820" s="8"/>
      <c r="M820" s="8"/>
      <c r="N820" s="8"/>
    </row>
    <row r="821" spans="11:14" ht="15.75" customHeight="1" x14ac:dyDescent="0.3">
      <c r="K821" s="8"/>
      <c r="L821" s="8"/>
      <c r="M821" s="8"/>
      <c r="N821" s="8"/>
    </row>
    <row r="822" spans="11:14" ht="15.75" customHeight="1" x14ac:dyDescent="0.3">
      <c r="K822" s="8"/>
      <c r="L822" s="8"/>
      <c r="M822" s="8"/>
      <c r="N822" s="8"/>
    </row>
    <row r="823" spans="11:14" ht="15.75" customHeight="1" x14ac:dyDescent="0.3">
      <c r="K823" s="8"/>
      <c r="L823" s="8"/>
      <c r="M823" s="8"/>
      <c r="N823" s="8"/>
    </row>
    <row r="824" spans="11:14" ht="15.75" customHeight="1" x14ac:dyDescent="0.3">
      <c r="K824" s="8"/>
      <c r="L824" s="8"/>
      <c r="M824" s="8"/>
      <c r="N824" s="8"/>
    </row>
    <row r="825" spans="11:14" ht="15.75" customHeight="1" x14ac:dyDescent="0.3">
      <c r="K825" s="8"/>
      <c r="L825" s="8"/>
      <c r="M825" s="8"/>
      <c r="N825" s="8"/>
    </row>
    <row r="826" spans="11:14" ht="15.75" customHeight="1" x14ac:dyDescent="0.3">
      <c r="K826" s="8"/>
      <c r="L826" s="8"/>
      <c r="M826" s="8"/>
      <c r="N826" s="8"/>
    </row>
    <row r="827" spans="11:14" ht="15.75" customHeight="1" x14ac:dyDescent="0.3">
      <c r="K827" s="8"/>
      <c r="L827" s="8"/>
      <c r="M827" s="8"/>
      <c r="N827" s="8"/>
    </row>
    <row r="828" spans="11:14" ht="15.75" customHeight="1" x14ac:dyDescent="0.3">
      <c r="K828" s="8"/>
      <c r="L828" s="8"/>
      <c r="M828" s="8"/>
      <c r="N828" s="8"/>
    </row>
    <row r="829" spans="11:14" ht="15.75" customHeight="1" x14ac:dyDescent="0.3">
      <c r="K829" s="8"/>
      <c r="L829" s="8"/>
      <c r="M829" s="8"/>
      <c r="N829" s="8"/>
    </row>
    <row r="830" spans="11:14" ht="15.75" customHeight="1" x14ac:dyDescent="0.3">
      <c r="K830" s="8"/>
      <c r="L830" s="8"/>
      <c r="M830" s="8"/>
      <c r="N830" s="8"/>
    </row>
    <row r="831" spans="11:14" ht="15.75" customHeight="1" x14ac:dyDescent="0.3">
      <c r="K831" s="8"/>
      <c r="L831" s="8"/>
      <c r="M831" s="8"/>
      <c r="N831" s="8"/>
    </row>
    <row r="832" spans="11:14" ht="15.75" customHeight="1" x14ac:dyDescent="0.3">
      <c r="K832" s="8"/>
      <c r="L832" s="8"/>
      <c r="M832" s="8"/>
      <c r="N832" s="8"/>
    </row>
    <row r="833" spans="11:14" ht="15.75" customHeight="1" x14ac:dyDescent="0.3">
      <c r="K833" s="8"/>
      <c r="L833" s="8"/>
      <c r="M833" s="8"/>
      <c r="N833" s="8"/>
    </row>
    <row r="834" spans="11:14" ht="15.75" customHeight="1" x14ac:dyDescent="0.3">
      <c r="K834" s="8"/>
      <c r="L834" s="8"/>
      <c r="M834" s="8"/>
      <c r="N834" s="8"/>
    </row>
    <row r="835" spans="11:14" ht="15.75" customHeight="1" x14ac:dyDescent="0.3">
      <c r="K835" s="8"/>
      <c r="L835" s="8"/>
      <c r="M835" s="8"/>
      <c r="N835" s="8"/>
    </row>
    <row r="836" spans="11:14" ht="15.75" customHeight="1" x14ac:dyDescent="0.3">
      <c r="K836" s="8"/>
      <c r="L836" s="8"/>
      <c r="M836" s="8"/>
      <c r="N836" s="8"/>
    </row>
    <row r="837" spans="11:14" ht="15.75" customHeight="1" x14ac:dyDescent="0.3">
      <c r="K837" s="8"/>
      <c r="L837" s="8"/>
      <c r="M837" s="8"/>
      <c r="N837" s="8"/>
    </row>
    <row r="838" spans="11:14" ht="15.75" customHeight="1" x14ac:dyDescent="0.3">
      <c r="K838" s="8"/>
      <c r="L838" s="8"/>
      <c r="M838" s="8"/>
      <c r="N838" s="8"/>
    </row>
    <row r="839" spans="11:14" ht="15.75" customHeight="1" x14ac:dyDescent="0.3">
      <c r="K839" s="8"/>
      <c r="L839" s="8"/>
      <c r="M839" s="8"/>
      <c r="N839" s="8"/>
    </row>
    <row r="840" spans="11:14" ht="15.75" customHeight="1" x14ac:dyDescent="0.3">
      <c r="K840" s="8"/>
      <c r="L840" s="8"/>
      <c r="M840" s="8"/>
      <c r="N840" s="8"/>
    </row>
    <row r="841" spans="11:14" ht="15.75" customHeight="1" x14ac:dyDescent="0.3">
      <c r="K841" s="8"/>
      <c r="L841" s="8"/>
      <c r="M841" s="8"/>
      <c r="N841" s="8"/>
    </row>
    <row r="842" spans="11:14" ht="15.75" customHeight="1" x14ac:dyDescent="0.3">
      <c r="K842" s="8"/>
      <c r="L842" s="8"/>
      <c r="M842" s="8"/>
      <c r="N842" s="8"/>
    </row>
    <row r="843" spans="11:14" ht="15.75" customHeight="1" x14ac:dyDescent="0.3">
      <c r="K843" s="8"/>
      <c r="L843" s="8"/>
      <c r="M843" s="8"/>
      <c r="N843" s="8"/>
    </row>
    <row r="844" spans="11:14" ht="15.75" customHeight="1" x14ac:dyDescent="0.3">
      <c r="K844" s="8"/>
      <c r="L844" s="8"/>
      <c r="M844" s="8"/>
      <c r="N844" s="8"/>
    </row>
    <row r="845" spans="11:14" ht="15.75" customHeight="1" x14ac:dyDescent="0.3">
      <c r="K845" s="8"/>
      <c r="L845" s="8"/>
      <c r="M845" s="8"/>
      <c r="N845" s="8"/>
    </row>
    <row r="846" spans="11:14" ht="15.75" customHeight="1" x14ac:dyDescent="0.3">
      <c r="K846" s="8"/>
      <c r="L846" s="8"/>
      <c r="M846" s="8"/>
      <c r="N846" s="8"/>
    </row>
    <row r="847" spans="11:14" ht="15.75" customHeight="1" x14ac:dyDescent="0.3">
      <c r="K847" s="8"/>
      <c r="L847" s="8"/>
      <c r="M847" s="8"/>
      <c r="N847" s="8"/>
    </row>
    <row r="848" spans="11:14" ht="15.75" customHeight="1" x14ac:dyDescent="0.3">
      <c r="K848" s="8"/>
      <c r="L848" s="8"/>
      <c r="M848" s="8"/>
      <c r="N848" s="8"/>
    </row>
    <row r="849" spans="11:14" ht="15.75" customHeight="1" x14ac:dyDescent="0.3">
      <c r="K849" s="8"/>
      <c r="L849" s="8"/>
      <c r="M849" s="8"/>
      <c r="N849" s="8"/>
    </row>
    <row r="850" spans="11:14" ht="15.75" customHeight="1" x14ac:dyDescent="0.3">
      <c r="K850" s="8"/>
      <c r="L850" s="8"/>
      <c r="M850" s="8"/>
      <c r="N850" s="8"/>
    </row>
    <row r="851" spans="11:14" ht="15.75" customHeight="1" x14ac:dyDescent="0.3">
      <c r="K851" s="8"/>
      <c r="L851" s="8"/>
      <c r="M851" s="8"/>
      <c r="N851" s="8"/>
    </row>
    <row r="852" spans="11:14" ht="15.75" customHeight="1" x14ac:dyDescent="0.3">
      <c r="K852" s="8"/>
      <c r="L852" s="8"/>
      <c r="M852" s="8"/>
      <c r="N852" s="8"/>
    </row>
    <row r="853" spans="11:14" ht="15.75" customHeight="1" x14ac:dyDescent="0.3">
      <c r="K853" s="8"/>
      <c r="L853" s="8"/>
      <c r="M853" s="8"/>
      <c r="N853" s="8"/>
    </row>
    <row r="854" spans="11:14" ht="15.75" customHeight="1" x14ac:dyDescent="0.3">
      <c r="K854" s="8"/>
      <c r="L854" s="8"/>
      <c r="M854" s="8"/>
      <c r="N854" s="8"/>
    </row>
    <row r="855" spans="11:14" ht="15.75" customHeight="1" x14ac:dyDescent="0.3">
      <c r="K855" s="8"/>
      <c r="L855" s="8"/>
      <c r="M855" s="8"/>
      <c r="N855" s="8"/>
    </row>
    <row r="856" spans="11:14" ht="15.75" customHeight="1" x14ac:dyDescent="0.3">
      <c r="K856" s="8"/>
      <c r="L856" s="8"/>
      <c r="M856" s="8"/>
      <c r="N856" s="8"/>
    </row>
    <row r="857" spans="11:14" ht="15.75" customHeight="1" x14ac:dyDescent="0.3">
      <c r="K857" s="8"/>
      <c r="L857" s="8"/>
      <c r="M857" s="8"/>
      <c r="N857" s="8"/>
    </row>
    <row r="858" spans="11:14" ht="15.75" customHeight="1" x14ac:dyDescent="0.3">
      <c r="K858" s="8"/>
      <c r="L858" s="8"/>
      <c r="M858" s="8"/>
      <c r="N858" s="8"/>
    </row>
    <row r="859" spans="11:14" ht="15.75" customHeight="1" x14ac:dyDescent="0.3">
      <c r="K859" s="8"/>
      <c r="L859" s="8"/>
      <c r="M859" s="8"/>
      <c r="N859" s="8"/>
    </row>
    <row r="860" spans="11:14" ht="15.75" customHeight="1" x14ac:dyDescent="0.3">
      <c r="K860" s="8"/>
      <c r="L860" s="8"/>
      <c r="M860" s="8"/>
      <c r="N860" s="8"/>
    </row>
    <row r="861" spans="11:14" ht="15.75" customHeight="1" x14ac:dyDescent="0.3">
      <c r="K861" s="8"/>
      <c r="L861" s="8"/>
      <c r="M861" s="8"/>
      <c r="N861" s="8"/>
    </row>
    <row r="862" spans="11:14" ht="15.75" customHeight="1" x14ac:dyDescent="0.3">
      <c r="K862" s="8"/>
      <c r="L862" s="8"/>
      <c r="M862" s="8"/>
      <c r="N862" s="8"/>
    </row>
    <row r="863" spans="11:14" ht="15.75" customHeight="1" x14ac:dyDescent="0.3">
      <c r="K863" s="8"/>
      <c r="L863" s="8"/>
      <c r="M863" s="8"/>
      <c r="N863" s="8"/>
    </row>
    <row r="864" spans="11:14" ht="15.75" customHeight="1" x14ac:dyDescent="0.3">
      <c r="K864" s="8"/>
      <c r="L864" s="8"/>
      <c r="M864" s="8"/>
      <c r="N864" s="8"/>
    </row>
    <row r="865" spans="11:14" ht="15.75" customHeight="1" x14ac:dyDescent="0.3">
      <c r="K865" s="8"/>
      <c r="L865" s="8"/>
      <c r="M865" s="8"/>
      <c r="N865" s="8"/>
    </row>
    <row r="866" spans="11:14" ht="15.75" customHeight="1" x14ac:dyDescent="0.3">
      <c r="K866" s="8"/>
      <c r="L866" s="8"/>
      <c r="M866" s="8"/>
      <c r="N866" s="8"/>
    </row>
    <row r="867" spans="11:14" ht="15.75" customHeight="1" x14ac:dyDescent="0.3">
      <c r="K867" s="8"/>
      <c r="L867" s="8"/>
      <c r="M867" s="8"/>
      <c r="N867" s="8"/>
    </row>
    <row r="868" spans="11:14" ht="15.75" customHeight="1" x14ac:dyDescent="0.3">
      <c r="K868" s="8"/>
      <c r="L868" s="8"/>
      <c r="M868" s="8"/>
      <c r="N868" s="8"/>
    </row>
    <row r="869" spans="11:14" ht="15.75" customHeight="1" x14ac:dyDescent="0.3">
      <c r="K869" s="8"/>
      <c r="L869" s="8"/>
      <c r="M869" s="8"/>
      <c r="N869" s="8"/>
    </row>
    <row r="870" spans="11:14" ht="15.75" customHeight="1" x14ac:dyDescent="0.3">
      <c r="K870" s="8"/>
      <c r="L870" s="8"/>
      <c r="M870" s="8"/>
      <c r="N870" s="8"/>
    </row>
    <row r="871" spans="11:14" ht="15.75" customHeight="1" x14ac:dyDescent="0.3">
      <c r="K871" s="8"/>
      <c r="L871" s="8"/>
      <c r="M871" s="8"/>
      <c r="N871" s="8"/>
    </row>
    <row r="872" spans="11:14" ht="15.75" customHeight="1" x14ac:dyDescent="0.3">
      <c r="K872" s="8"/>
      <c r="L872" s="8"/>
      <c r="M872" s="8"/>
      <c r="N872" s="8"/>
    </row>
    <row r="873" spans="11:14" ht="15.75" customHeight="1" x14ac:dyDescent="0.3">
      <c r="K873" s="8"/>
      <c r="L873" s="8"/>
      <c r="M873" s="8"/>
      <c r="N873" s="8"/>
    </row>
    <row r="874" spans="11:14" ht="15.75" customHeight="1" x14ac:dyDescent="0.3">
      <c r="K874" s="8"/>
      <c r="L874" s="8"/>
      <c r="M874" s="8"/>
      <c r="N874" s="8"/>
    </row>
    <row r="875" spans="11:14" ht="15.75" customHeight="1" x14ac:dyDescent="0.3">
      <c r="K875" s="8"/>
      <c r="L875" s="8"/>
      <c r="M875" s="8"/>
      <c r="N875" s="8"/>
    </row>
    <row r="876" spans="11:14" ht="15.75" customHeight="1" x14ac:dyDescent="0.3">
      <c r="K876" s="8"/>
      <c r="L876" s="8"/>
      <c r="M876" s="8"/>
      <c r="N876" s="8"/>
    </row>
    <row r="877" spans="11:14" ht="15.75" customHeight="1" x14ac:dyDescent="0.3">
      <c r="K877" s="8"/>
      <c r="L877" s="8"/>
      <c r="M877" s="8"/>
      <c r="N877" s="8"/>
    </row>
    <row r="878" spans="11:14" ht="15.75" customHeight="1" x14ac:dyDescent="0.3">
      <c r="K878" s="8"/>
      <c r="L878" s="8"/>
      <c r="M878" s="8"/>
      <c r="N878" s="8"/>
    </row>
    <row r="879" spans="11:14" ht="15.75" customHeight="1" x14ac:dyDescent="0.3">
      <c r="K879" s="8"/>
      <c r="L879" s="8"/>
      <c r="M879" s="8"/>
      <c r="N879" s="8"/>
    </row>
    <row r="880" spans="11:14" ht="15.75" customHeight="1" x14ac:dyDescent="0.3">
      <c r="K880" s="8"/>
      <c r="L880" s="8"/>
      <c r="M880" s="8"/>
      <c r="N880" s="8"/>
    </row>
    <row r="881" spans="11:14" ht="15.75" customHeight="1" x14ac:dyDescent="0.3">
      <c r="K881" s="8"/>
      <c r="L881" s="8"/>
      <c r="M881" s="8"/>
      <c r="N881" s="8"/>
    </row>
    <row r="882" spans="11:14" ht="15.75" customHeight="1" x14ac:dyDescent="0.3">
      <c r="K882" s="8"/>
      <c r="L882" s="8"/>
      <c r="M882" s="8"/>
      <c r="N882" s="8"/>
    </row>
    <row r="883" spans="11:14" ht="15.75" customHeight="1" x14ac:dyDescent="0.3">
      <c r="K883" s="8"/>
      <c r="L883" s="8"/>
      <c r="M883" s="8"/>
      <c r="N883" s="8"/>
    </row>
    <row r="884" spans="11:14" ht="15.75" customHeight="1" x14ac:dyDescent="0.3">
      <c r="K884" s="8"/>
      <c r="L884" s="8"/>
      <c r="M884" s="8"/>
      <c r="N884" s="8"/>
    </row>
    <row r="885" spans="11:14" ht="15.75" customHeight="1" x14ac:dyDescent="0.3">
      <c r="K885" s="8"/>
      <c r="L885" s="8"/>
      <c r="M885" s="8"/>
      <c r="N885" s="8"/>
    </row>
    <row r="886" spans="11:14" ht="15.75" customHeight="1" x14ac:dyDescent="0.3">
      <c r="K886" s="8"/>
      <c r="L886" s="8"/>
      <c r="M886" s="8"/>
      <c r="N886" s="8"/>
    </row>
    <row r="887" spans="11:14" ht="15.75" customHeight="1" x14ac:dyDescent="0.3">
      <c r="K887" s="8"/>
      <c r="L887" s="8"/>
      <c r="M887" s="8"/>
      <c r="N887" s="8"/>
    </row>
    <row r="888" spans="11:14" ht="15.75" customHeight="1" x14ac:dyDescent="0.3">
      <c r="K888" s="8"/>
      <c r="L888" s="8"/>
      <c r="M888" s="8"/>
      <c r="N888" s="8"/>
    </row>
    <row r="889" spans="11:14" ht="15.75" customHeight="1" x14ac:dyDescent="0.3">
      <c r="K889" s="8"/>
      <c r="L889" s="8"/>
      <c r="M889" s="8"/>
      <c r="N889" s="8"/>
    </row>
    <row r="890" spans="11:14" ht="15.75" customHeight="1" x14ac:dyDescent="0.3">
      <c r="K890" s="8"/>
      <c r="L890" s="8"/>
      <c r="M890" s="8"/>
      <c r="N890" s="8"/>
    </row>
    <row r="891" spans="11:14" ht="15.75" customHeight="1" x14ac:dyDescent="0.3">
      <c r="K891" s="8"/>
      <c r="L891" s="8"/>
      <c r="M891" s="8"/>
      <c r="N891" s="8"/>
    </row>
    <row r="892" spans="11:14" ht="15.75" customHeight="1" x14ac:dyDescent="0.3">
      <c r="K892" s="8"/>
      <c r="L892" s="8"/>
      <c r="M892" s="8"/>
      <c r="N892" s="8"/>
    </row>
    <row r="893" spans="11:14" ht="15.75" customHeight="1" x14ac:dyDescent="0.3">
      <c r="K893" s="8"/>
      <c r="L893" s="8"/>
      <c r="M893" s="8"/>
      <c r="N893" s="8"/>
    </row>
    <row r="894" spans="11:14" ht="15.75" customHeight="1" x14ac:dyDescent="0.3">
      <c r="K894" s="8"/>
      <c r="L894" s="8"/>
      <c r="M894" s="8"/>
      <c r="N894" s="8"/>
    </row>
    <row r="895" spans="11:14" ht="15.75" customHeight="1" x14ac:dyDescent="0.3">
      <c r="K895" s="8"/>
      <c r="L895" s="8"/>
      <c r="M895" s="8"/>
      <c r="N895" s="8"/>
    </row>
    <row r="896" spans="11:14" ht="15.75" customHeight="1" x14ac:dyDescent="0.3">
      <c r="K896" s="8"/>
      <c r="L896" s="8"/>
      <c r="M896" s="8"/>
      <c r="N896" s="8"/>
    </row>
    <row r="897" spans="11:14" ht="15.75" customHeight="1" x14ac:dyDescent="0.3">
      <c r="K897" s="8"/>
      <c r="L897" s="8"/>
      <c r="M897" s="8"/>
      <c r="N897" s="8"/>
    </row>
    <row r="898" spans="11:14" ht="15.75" customHeight="1" x14ac:dyDescent="0.3">
      <c r="K898" s="8"/>
      <c r="L898" s="8"/>
      <c r="M898" s="8"/>
      <c r="N898" s="8"/>
    </row>
    <row r="899" spans="11:14" ht="15.75" customHeight="1" x14ac:dyDescent="0.3">
      <c r="K899" s="8"/>
      <c r="L899" s="8"/>
      <c r="M899" s="8"/>
      <c r="N899" s="8"/>
    </row>
    <row r="900" spans="11:14" ht="15.75" customHeight="1" x14ac:dyDescent="0.3">
      <c r="K900" s="8"/>
      <c r="L900" s="8"/>
      <c r="M900" s="8"/>
      <c r="N900" s="8"/>
    </row>
    <row r="901" spans="11:14" ht="15.75" customHeight="1" x14ac:dyDescent="0.3">
      <c r="K901" s="8"/>
      <c r="L901" s="8"/>
      <c r="M901" s="8"/>
      <c r="N901" s="8"/>
    </row>
    <row r="902" spans="11:14" ht="15.75" customHeight="1" x14ac:dyDescent="0.3">
      <c r="K902" s="8"/>
      <c r="L902" s="8"/>
      <c r="M902" s="8"/>
      <c r="N902" s="8"/>
    </row>
    <row r="903" spans="11:14" ht="15.75" customHeight="1" x14ac:dyDescent="0.3">
      <c r="K903" s="8"/>
      <c r="L903" s="8"/>
      <c r="M903" s="8"/>
      <c r="N903" s="8"/>
    </row>
    <row r="904" spans="11:14" ht="15.75" customHeight="1" x14ac:dyDescent="0.3">
      <c r="K904" s="8"/>
      <c r="L904" s="8"/>
      <c r="M904" s="8"/>
      <c r="N904" s="8"/>
    </row>
    <row r="905" spans="11:14" ht="15.75" customHeight="1" x14ac:dyDescent="0.3">
      <c r="K905" s="8"/>
      <c r="L905" s="8"/>
      <c r="M905" s="8"/>
      <c r="N905" s="8"/>
    </row>
    <row r="906" spans="11:14" ht="15.75" customHeight="1" x14ac:dyDescent="0.3">
      <c r="K906" s="8"/>
      <c r="L906" s="8"/>
      <c r="M906" s="8"/>
      <c r="N906" s="8"/>
    </row>
    <row r="907" spans="11:14" ht="15.75" customHeight="1" x14ac:dyDescent="0.3">
      <c r="K907" s="8"/>
      <c r="L907" s="8"/>
      <c r="M907" s="8"/>
      <c r="N907" s="8"/>
    </row>
    <row r="908" spans="11:14" ht="15.75" customHeight="1" x14ac:dyDescent="0.3">
      <c r="K908" s="8"/>
      <c r="L908" s="8"/>
      <c r="M908" s="8"/>
      <c r="N908" s="8"/>
    </row>
    <row r="909" spans="11:14" ht="15.75" customHeight="1" x14ac:dyDescent="0.3">
      <c r="K909" s="8"/>
      <c r="L909" s="8"/>
      <c r="M909" s="8"/>
      <c r="N909" s="8"/>
    </row>
    <row r="910" spans="11:14" ht="15.75" customHeight="1" x14ac:dyDescent="0.3">
      <c r="K910" s="8"/>
      <c r="L910" s="8"/>
      <c r="M910" s="8"/>
      <c r="N910" s="8"/>
    </row>
    <row r="911" spans="11:14" ht="15.75" customHeight="1" x14ac:dyDescent="0.3">
      <c r="K911" s="8"/>
      <c r="L911" s="8"/>
      <c r="M911" s="8"/>
      <c r="N911" s="8"/>
    </row>
    <row r="912" spans="11:14" ht="15.75" customHeight="1" x14ac:dyDescent="0.3">
      <c r="K912" s="8"/>
      <c r="L912" s="8"/>
      <c r="M912" s="8"/>
      <c r="N912" s="8"/>
    </row>
    <row r="913" spans="11:14" ht="15.75" customHeight="1" x14ac:dyDescent="0.3">
      <c r="K913" s="8"/>
      <c r="L913" s="8"/>
      <c r="M913" s="8"/>
      <c r="N913" s="8"/>
    </row>
    <row r="914" spans="11:14" ht="15.75" customHeight="1" x14ac:dyDescent="0.3">
      <c r="K914" s="8"/>
      <c r="L914" s="8"/>
      <c r="M914" s="8"/>
      <c r="N914" s="8"/>
    </row>
    <row r="915" spans="11:14" ht="15.75" customHeight="1" x14ac:dyDescent="0.3">
      <c r="K915" s="8"/>
      <c r="L915" s="8"/>
      <c r="M915" s="8"/>
      <c r="N915" s="8"/>
    </row>
    <row r="916" spans="11:14" ht="15.75" customHeight="1" x14ac:dyDescent="0.3">
      <c r="K916" s="8"/>
      <c r="L916" s="8"/>
      <c r="M916" s="8"/>
      <c r="N916" s="8"/>
    </row>
    <row r="917" spans="11:14" ht="15.75" customHeight="1" x14ac:dyDescent="0.3">
      <c r="K917" s="8"/>
      <c r="L917" s="8"/>
      <c r="M917" s="8"/>
      <c r="N917" s="8"/>
    </row>
    <row r="918" spans="11:14" ht="15.75" customHeight="1" x14ac:dyDescent="0.3">
      <c r="K918" s="8"/>
      <c r="L918" s="8"/>
      <c r="M918" s="8"/>
      <c r="N918" s="8"/>
    </row>
    <row r="919" spans="11:14" ht="15.75" customHeight="1" x14ac:dyDescent="0.3">
      <c r="K919" s="8"/>
      <c r="L919" s="8"/>
      <c r="M919" s="8"/>
      <c r="N919" s="8"/>
    </row>
    <row r="920" spans="11:14" ht="15.75" customHeight="1" x14ac:dyDescent="0.3">
      <c r="K920" s="8"/>
      <c r="L920" s="8"/>
      <c r="M920" s="8"/>
      <c r="N920" s="8"/>
    </row>
    <row r="921" spans="11:14" ht="15.75" customHeight="1" x14ac:dyDescent="0.3">
      <c r="K921" s="8"/>
      <c r="L921" s="8"/>
      <c r="M921" s="8"/>
      <c r="N921" s="8"/>
    </row>
    <row r="922" spans="11:14" ht="15.75" customHeight="1" x14ac:dyDescent="0.3">
      <c r="K922" s="8"/>
      <c r="L922" s="8"/>
      <c r="M922" s="8"/>
      <c r="N922" s="8"/>
    </row>
    <row r="923" spans="11:14" ht="15.75" customHeight="1" x14ac:dyDescent="0.3">
      <c r="K923" s="8"/>
      <c r="L923" s="8"/>
      <c r="M923" s="8"/>
      <c r="N923" s="8"/>
    </row>
    <row r="924" spans="11:14" ht="15.75" customHeight="1" x14ac:dyDescent="0.3">
      <c r="K924" s="8"/>
      <c r="L924" s="8"/>
      <c r="M924" s="8"/>
      <c r="N924" s="8"/>
    </row>
    <row r="925" spans="11:14" ht="15.75" customHeight="1" x14ac:dyDescent="0.3">
      <c r="K925" s="8"/>
      <c r="L925" s="8"/>
      <c r="M925" s="8"/>
      <c r="N925" s="8"/>
    </row>
    <row r="926" spans="11:14" ht="15.75" customHeight="1" x14ac:dyDescent="0.3">
      <c r="K926" s="8"/>
      <c r="L926" s="8"/>
      <c r="M926" s="8"/>
      <c r="N926" s="8"/>
    </row>
    <row r="927" spans="11:14" ht="15.75" customHeight="1" x14ac:dyDescent="0.3">
      <c r="K927" s="8"/>
      <c r="L927" s="8"/>
      <c r="M927" s="8"/>
      <c r="N927" s="8"/>
    </row>
    <row r="928" spans="11:14" ht="15.75" customHeight="1" x14ac:dyDescent="0.3">
      <c r="K928" s="8"/>
      <c r="L928" s="8"/>
      <c r="M928" s="8"/>
      <c r="N928" s="8"/>
    </row>
    <row r="929" spans="11:14" ht="15.75" customHeight="1" x14ac:dyDescent="0.3">
      <c r="K929" s="8"/>
      <c r="L929" s="8"/>
      <c r="M929" s="8"/>
      <c r="N929" s="8"/>
    </row>
    <row r="930" spans="11:14" ht="15.75" customHeight="1" x14ac:dyDescent="0.3">
      <c r="K930" s="8"/>
      <c r="L930" s="8"/>
      <c r="M930" s="8"/>
      <c r="N930" s="8"/>
    </row>
    <row r="931" spans="11:14" ht="15.75" customHeight="1" x14ac:dyDescent="0.3">
      <c r="K931" s="8"/>
      <c r="L931" s="8"/>
      <c r="M931" s="8"/>
      <c r="N931" s="8"/>
    </row>
    <row r="932" spans="11:14" ht="15.75" customHeight="1" x14ac:dyDescent="0.3">
      <c r="K932" s="8"/>
      <c r="L932" s="8"/>
      <c r="M932" s="8"/>
      <c r="N932" s="8"/>
    </row>
    <row r="933" spans="11:14" ht="15.75" customHeight="1" x14ac:dyDescent="0.3">
      <c r="K933" s="8"/>
      <c r="L933" s="8"/>
      <c r="M933" s="8"/>
      <c r="N933" s="8"/>
    </row>
    <row r="934" spans="11:14" ht="15.75" customHeight="1" x14ac:dyDescent="0.3">
      <c r="K934" s="8"/>
      <c r="L934" s="8"/>
      <c r="M934" s="8"/>
      <c r="N934" s="8"/>
    </row>
    <row r="935" spans="11:14" ht="15.75" customHeight="1" x14ac:dyDescent="0.3">
      <c r="K935" s="8"/>
      <c r="L935" s="8"/>
      <c r="M935" s="8"/>
      <c r="N935" s="8"/>
    </row>
    <row r="936" spans="11:14" ht="15.75" customHeight="1" x14ac:dyDescent="0.3">
      <c r="K936" s="8"/>
      <c r="L936" s="8"/>
      <c r="M936" s="8"/>
      <c r="N936" s="8"/>
    </row>
    <row r="937" spans="11:14" ht="15.75" customHeight="1" x14ac:dyDescent="0.3">
      <c r="K937" s="8"/>
      <c r="L937" s="8"/>
      <c r="M937" s="8"/>
      <c r="N937" s="8"/>
    </row>
    <row r="938" spans="11:14" ht="15.75" customHeight="1" x14ac:dyDescent="0.3">
      <c r="K938" s="8"/>
      <c r="L938" s="8"/>
      <c r="M938" s="8"/>
      <c r="N938" s="8"/>
    </row>
    <row r="939" spans="11:14" ht="15.75" customHeight="1" x14ac:dyDescent="0.3">
      <c r="K939" s="8"/>
      <c r="L939" s="8"/>
      <c r="M939" s="8"/>
      <c r="N939" s="8"/>
    </row>
    <row r="940" spans="11:14" ht="15.75" customHeight="1" x14ac:dyDescent="0.3">
      <c r="K940" s="8"/>
      <c r="L940" s="8"/>
      <c r="M940" s="8"/>
      <c r="N940" s="8"/>
    </row>
    <row r="941" spans="11:14" ht="15.75" customHeight="1" x14ac:dyDescent="0.3">
      <c r="K941" s="8"/>
      <c r="L941" s="8"/>
      <c r="M941" s="8"/>
      <c r="N941" s="8"/>
    </row>
    <row r="942" spans="11:14" ht="15.75" customHeight="1" x14ac:dyDescent="0.3">
      <c r="K942" s="8"/>
      <c r="L942" s="8"/>
      <c r="M942" s="8"/>
      <c r="N942" s="8"/>
    </row>
    <row r="943" spans="11:14" ht="15.75" customHeight="1" x14ac:dyDescent="0.3">
      <c r="K943" s="8"/>
      <c r="L943" s="8"/>
      <c r="M943" s="8"/>
      <c r="N943" s="8"/>
    </row>
    <row r="944" spans="11:14" ht="15.75" customHeight="1" x14ac:dyDescent="0.3">
      <c r="K944" s="8"/>
      <c r="L944" s="8"/>
      <c r="M944" s="8"/>
      <c r="N944" s="8"/>
    </row>
    <row r="945" spans="11:14" ht="15.75" customHeight="1" x14ac:dyDescent="0.3">
      <c r="K945" s="8"/>
      <c r="L945" s="8"/>
      <c r="M945" s="8"/>
      <c r="N945" s="8"/>
    </row>
    <row r="946" spans="11:14" ht="15.75" customHeight="1" x14ac:dyDescent="0.3">
      <c r="K946" s="8"/>
      <c r="L946" s="8"/>
      <c r="M946" s="8"/>
      <c r="N946" s="8"/>
    </row>
    <row r="947" spans="11:14" ht="15.75" customHeight="1" x14ac:dyDescent="0.3">
      <c r="K947" s="8"/>
      <c r="L947" s="8"/>
      <c r="M947" s="8"/>
      <c r="N947" s="8"/>
    </row>
    <row r="948" spans="11:14" ht="15.75" customHeight="1" x14ac:dyDescent="0.3">
      <c r="K948" s="8"/>
      <c r="L948" s="8"/>
      <c r="M948" s="8"/>
      <c r="N948" s="8"/>
    </row>
    <row r="949" spans="11:14" ht="15.75" customHeight="1" x14ac:dyDescent="0.3">
      <c r="K949" s="8"/>
      <c r="L949" s="8"/>
      <c r="M949" s="8"/>
      <c r="N949" s="8"/>
    </row>
    <row r="950" spans="11:14" ht="15.75" customHeight="1" x14ac:dyDescent="0.3">
      <c r="K950" s="8"/>
      <c r="L950" s="8"/>
      <c r="M950" s="8"/>
      <c r="N950" s="8"/>
    </row>
    <row r="951" spans="11:14" ht="15.75" customHeight="1" x14ac:dyDescent="0.3">
      <c r="K951" s="8"/>
      <c r="L951" s="8"/>
      <c r="M951" s="8"/>
      <c r="N951" s="8"/>
    </row>
    <row r="952" spans="11:14" ht="15.75" customHeight="1" x14ac:dyDescent="0.3">
      <c r="K952" s="8"/>
      <c r="L952" s="8"/>
      <c r="M952" s="8"/>
      <c r="N952" s="8"/>
    </row>
    <row r="953" spans="11:14" ht="15.75" customHeight="1" x14ac:dyDescent="0.3">
      <c r="K953" s="8"/>
      <c r="L953" s="8"/>
      <c r="M953" s="8"/>
      <c r="N953" s="8"/>
    </row>
    <row r="954" spans="11:14" ht="15.75" customHeight="1" x14ac:dyDescent="0.3">
      <c r="K954" s="8"/>
      <c r="L954" s="8"/>
      <c r="M954" s="8"/>
      <c r="N954" s="8"/>
    </row>
    <row r="955" spans="11:14" ht="15.75" customHeight="1" x14ac:dyDescent="0.3">
      <c r="K955" s="8"/>
      <c r="L955" s="8"/>
      <c r="M955" s="8"/>
      <c r="N955" s="8"/>
    </row>
    <row r="956" spans="11:14" ht="15.75" customHeight="1" x14ac:dyDescent="0.3">
      <c r="K956" s="8"/>
      <c r="L956" s="8"/>
      <c r="M956" s="8"/>
      <c r="N956" s="8"/>
    </row>
    <row r="957" spans="11:14" ht="15.75" customHeight="1" x14ac:dyDescent="0.3">
      <c r="K957" s="8"/>
      <c r="L957" s="8"/>
      <c r="M957" s="8"/>
      <c r="N957" s="8"/>
    </row>
    <row r="958" spans="11:14" ht="15.75" customHeight="1" x14ac:dyDescent="0.3">
      <c r="K958" s="8"/>
      <c r="L958" s="8"/>
      <c r="M958" s="8"/>
      <c r="N958" s="8"/>
    </row>
    <row r="959" spans="11:14" ht="15.75" customHeight="1" x14ac:dyDescent="0.3">
      <c r="K959" s="8"/>
      <c r="L959" s="8"/>
      <c r="M959" s="8"/>
      <c r="N959" s="8"/>
    </row>
    <row r="960" spans="11:14" ht="15.75" customHeight="1" x14ac:dyDescent="0.3">
      <c r="K960" s="8"/>
      <c r="L960" s="8"/>
      <c r="M960" s="8"/>
      <c r="N960" s="8"/>
    </row>
    <row r="961" spans="11:14" ht="15.75" customHeight="1" x14ac:dyDescent="0.3">
      <c r="K961" s="8"/>
      <c r="L961" s="8"/>
      <c r="M961" s="8"/>
      <c r="N961" s="8"/>
    </row>
    <row r="962" spans="11:14" ht="15.75" customHeight="1" x14ac:dyDescent="0.3">
      <c r="K962" s="8"/>
      <c r="L962" s="8"/>
      <c r="M962" s="8"/>
      <c r="N962" s="8"/>
    </row>
    <row r="963" spans="11:14" ht="15.75" customHeight="1" x14ac:dyDescent="0.3">
      <c r="K963" s="8"/>
      <c r="L963" s="8"/>
      <c r="M963" s="8"/>
      <c r="N963" s="8"/>
    </row>
    <row r="964" spans="11:14" ht="15.75" customHeight="1" x14ac:dyDescent="0.3">
      <c r="K964" s="8"/>
      <c r="L964" s="8"/>
      <c r="M964" s="8"/>
      <c r="N964" s="8"/>
    </row>
    <row r="965" spans="11:14" ht="15.75" customHeight="1" x14ac:dyDescent="0.3">
      <c r="K965" s="8"/>
      <c r="L965" s="8"/>
      <c r="M965" s="8"/>
      <c r="N965" s="8"/>
    </row>
    <row r="966" spans="11:14" ht="15.75" customHeight="1" x14ac:dyDescent="0.3">
      <c r="K966" s="8"/>
      <c r="L966" s="8"/>
      <c r="M966" s="8"/>
      <c r="N966" s="8"/>
    </row>
    <row r="967" spans="11:14" ht="15.75" customHeight="1" x14ac:dyDescent="0.3">
      <c r="K967" s="8"/>
      <c r="L967" s="8"/>
      <c r="M967" s="8"/>
      <c r="N967" s="8"/>
    </row>
    <row r="968" spans="11:14" ht="15.75" customHeight="1" x14ac:dyDescent="0.3">
      <c r="K968" s="8"/>
      <c r="L968" s="8"/>
      <c r="M968" s="8"/>
      <c r="N968" s="8"/>
    </row>
    <row r="969" spans="11:14" ht="15.75" customHeight="1" x14ac:dyDescent="0.3">
      <c r="K969" s="8"/>
      <c r="L969" s="8"/>
      <c r="M969" s="8"/>
      <c r="N969" s="8"/>
    </row>
    <row r="970" spans="11:14" ht="15.75" customHeight="1" x14ac:dyDescent="0.3">
      <c r="K970" s="8"/>
      <c r="L970" s="8"/>
      <c r="M970" s="8"/>
      <c r="N970" s="8"/>
    </row>
    <row r="971" spans="11:14" ht="15.75" customHeight="1" x14ac:dyDescent="0.3">
      <c r="K971" s="8"/>
      <c r="L971" s="8"/>
      <c r="M971" s="8"/>
      <c r="N971" s="8"/>
    </row>
    <row r="972" spans="11:14" ht="15.75" customHeight="1" x14ac:dyDescent="0.3">
      <c r="K972" s="8"/>
      <c r="L972" s="8"/>
      <c r="M972" s="8"/>
      <c r="N972" s="8"/>
    </row>
    <row r="973" spans="11:14" ht="15.75" customHeight="1" x14ac:dyDescent="0.3">
      <c r="K973" s="8"/>
      <c r="L973" s="8"/>
      <c r="M973" s="8"/>
      <c r="N973" s="8"/>
    </row>
    <row r="974" spans="11:14" ht="15.75" customHeight="1" x14ac:dyDescent="0.3">
      <c r="K974" s="8"/>
      <c r="L974" s="8"/>
      <c r="M974" s="8"/>
      <c r="N974" s="8"/>
    </row>
    <row r="975" spans="11:14" ht="15.75" customHeight="1" x14ac:dyDescent="0.3">
      <c r="K975" s="8"/>
      <c r="L975" s="8"/>
      <c r="M975" s="8"/>
      <c r="N975" s="8"/>
    </row>
    <row r="976" spans="11:14" ht="15.75" customHeight="1" x14ac:dyDescent="0.3">
      <c r="K976" s="8"/>
      <c r="L976" s="8"/>
      <c r="M976" s="8"/>
      <c r="N976" s="8"/>
    </row>
    <row r="977" spans="11:14" ht="15.75" customHeight="1" x14ac:dyDescent="0.3">
      <c r="K977" s="8"/>
      <c r="L977" s="8"/>
      <c r="M977" s="8"/>
      <c r="N977" s="8"/>
    </row>
    <row r="978" spans="11:14" ht="15.75" customHeight="1" x14ac:dyDescent="0.3">
      <c r="K978" s="8"/>
      <c r="L978" s="8"/>
      <c r="M978" s="8"/>
      <c r="N978" s="8"/>
    </row>
    <row r="979" spans="11:14" ht="15.75" customHeight="1" x14ac:dyDescent="0.3">
      <c r="K979" s="8"/>
      <c r="L979" s="8"/>
      <c r="M979" s="8"/>
      <c r="N979" s="8"/>
    </row>
    <row r="980" spans="11:14" ht="15.75" customHeight="1" x14ac:dyDescent="0.3">
      <c r="K980" s="8"/>
      <c r="L980" s="8"/>
      <c r="M980" s="8"/>
      <c r="N980" s="8"/>
    </row>
    <row r="981" spans="11:14" ht="15.75" customHeight="1" x14ac:dyDescent="0.3">
      <c r="K981" s="8"/>
      <c r="L981" s="8"/>
      <c r="M981" s="8"/>
      <c r="N981" s="8"/>
    </row>
    <row r="982" spans="11:14" ht="15.75" customHeight="1" x14ac:dyDescent="0.3">
      <c r="K982" s="8"/>
      <c r="L982" s="8"/>
      <c r="M982" s="8"/>
      <c r="N982" s="8"/>
    </row>
    <row r="983" spans="11:14" ht="15.75" customHeight="1" x14ac:dyDescent="0.3">
      <c r="K983" s="8"/>
      <c r="L983" s="8"/>
      <c r="M983" s="8"/>
      <c r="N983" s="8"/>
    </row>
    <row r="984" spans="11:14" ht="15.75" customHeight="1" x14ac:dyDescent="0.3">
      <c r="K984" s="8"/>
      <c r="L984" s="8"/>
      <c r="M984" s="8"/>
      <c r="N984" s="8"/>
    </row>
    <row r="985" spans="11:14" ht="15.75" customHeight="1" x14ac:dyDescent="0.3">
      <c r="K985" s="8"/>
      <c r="L985" s="8"/>
      <c r="M985" s="8"/>
      <c r="N985" s="8"/>
    </row>
    <row r="986" spans="11:14" ht="15.75" customHeight="1" x14ac:dyDescent="0.3">
      <c r="K986" s="8"/>
      <c r="L986" s="8"/>
      <c r="M986" s="8"/>
      <c r="N986" s="8"/>
    </row>
    <row r="987" spans="11:14" ht="15.75" customHeight="1" x14ac:dyDescent="0.3">
      <c r="K987" s="8"/>
      <c r="L987" s="8"/>
      <c r="M987" s="8"/>
      <c r="N987" s="8"/>
    </row>
    <row r="988" spans="11:14" ht="15.75" customHeight="1" x14ac:dyDescent="0.3">
      <c r="K988" s="8"/>
      <c r="L988" s="8"/>
      <c r="M988" s="8"/>
      <c r="N988" s="8"/>
    </row>
    <row r="989" spans="11:14" ht="15.75" customHeight="1" x14ac:dyDescent="0.3">
      <c r="K989" s="8"/>
      <c r="L989" s="8"/>
      <c r="M989" s="8"/>
      <c r="N989" s="8"/>
    </row>
    <row r="990" spans="11:14" ht="15.75" customHeight="1" x14ac:dyDescent="0.3">
      <c r="K990" s="8"/>
      <c r="L990" s="8"/>
      <c r="M990" s="8"/>
      <c r="N990" s="8"/>
    </row>
    <row r="991" spans="11:14" ht="15.75" customHeight="1" x14ac:dyDescent="0.3">
      <c r="K991" s="8"/>
      <c r="L991" s="8"/>
      <c r="M991" s="8"/>
      <c r="N991" s="8"/>
    </row>
    <row r="992" spans="11:14" ht="15.75" customHeight="1" x14ac:dyDescent="0.3">
      <c r="K992" s="8"/>
      <c r="L992" s="8"/>
      <c r="M992" s="8"/>
      <c r="N992" s="8"/>
    </row>
    <row r="993" spans="11:14" ht="15.75" customHeight="1" x14ac:dyDescent="0.3">
      <c r="K993" s="8"/>
      <c r="L993" s="8"/>
      <c r="M993" s="8"/>
      <c r="N993" s="8"/>
    </row>
    <row r="994" spans="11:14" ht="15.75" customHeight="1" x14ac:dyDescent="0.3">
      <c r="K994" s="8"/>
      <c r="L994" s="8"/>
      <c r="M994" s="8"/>
      <c r="N994" s="8"/>
    </row>
    <row r="995" spans="11:14" ht="15.75" customHeight="1" x14ac:dyDescent="0.3">
      <c r="K995" s="8"/>
      <c r="L995" s="8"/>
      <c r="M995" s="8"/>
      <c r="N995" s="8"/>
    </row>
    <row r="996" spans="11:14" ht="15.75" customHeight="1" x14ac:dyDescent="0.3">
      <c r="K996" s="8"/>
      <c r="L996" s="8"/>
      <c r="M996" s="8"/>
      <c r="N996" s="8"/>
    </row>
    <row r="997" spans="11:14" ht="15.75" customHeight="1" x14ac:dyDescent="0.3">
      <c r="K997" s="8"/>
      <c r="L997" s="8"/>
      <c r="M997" s="8"/>
      <c r="N997" s="8"/>
    </row>
    <row r="998" spans="11:14" ht="15.75" customHeight="1" x14ac:dyDescent="0.3">
      <c r="K998" s="8"/>
      <c r="L998" s="8"/>
      <c r="M998" s="8"/>
      <c r="N998" s="8"/>
    </row>
    <row r="999" spans="11:14" ht="15.75" customHeight="1" x14ac:dyDescent="0.3">
      <c r="K999" s="8"/>
      <c r="L999" s="8"/>
      <c r="M999" s="8"/>
      <c r="N999" s="8"/>
    </row>
    <row r="1000" spans="11:14" ht="15.75" customHeight="1" x14ac:dyDescent="0.3">
      <c r="K1000" s="8"/>
      <c r="L1000" s="8"/>
      <c r="M1000" s="8"/>
      <c r="N1000" s="8"/>
    </row>
  </sheetData>
  <pageMargins left="0.7" right="0.7" top="0.75" bottom="0.75" header="0" footer="0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CCF745-E52D-B948-91C0-DFA698671DD1}">
  <dimension ref="A1:S1000"/>
  <sheetViews>
    <sheetView showGridLines="0" zoomScale="99" zoomScaleNormal="130" workbookViewId="0">
      <pane xSplit="3" ySplit="5" topLeftCell="D40" activePane="bottomRight" state="frozen"/>
      <selection pane="topRight" activeCell="D1" sqref="D1"/>
      <selection pane="bottomLeft" activeCell="A6" sqref="A6"/>
      <selection pane="bottomRight" activeCell="L82" sqref="L82"/>
    </sheetView>
  </sheetViews>
  <sheetFormatPr defaultColWidth="14.5" defaultRowHeight="15" customHeight="1" x14ac:dyDescent="0.3"/>
  <cols>
    <col min="1" max="1" width="48.796875" style="4" customWidth="1"/>
    <col min="2" max="2" width="1.296875" style="4" customWidth="1"/>
    <col min="3" max="3" width="1.19921875" style="4" customWidth="1"/>
    <col min="4" max="4" width="9.19921875" style="4" hidden="1" customWidth="1"/>
    <col min="5" max="5" width="9.296875" style="4" hidden="1" customWidth="1"/>
    <col min="6" max="6" width="9.19921875" style="4" customWidth="1"/>
    <col min="7" max="7" width="9.5" style="4" customWidth="1"/>
    <col min="8" max="10" width="9.19921875" style="4" customWidth="1"/>
    <col min="11" max="11" width="12.59765625" style="4" bestFit="1" customWidth="1"/>
    <col min="12" max="14" width="10.69921875" style="4" customWidth="1"/>
    <col min="15" max="26" width="8.69921875" style="4" customWidth="1"/>
    <col min="27" max="16384" width="14.5" style="4"/>
  </cols>
  <sheetData>
    <row r="1" spans="1:19" ht="58.5" customHeight="1" x14ac:dyDescent="0.45">
      <c r="A1" s="1" t="s">
        <v>1</v>
      </c>
      <c r="B1" s="2"/>
      <c r="C1" s="2"/>
      <c r="D1" s="3" t="str">
        <f>[1]Basics!B1</f>
        <v>Day 2</v>
      </c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</row>
    <row r="2" spans="1:19" ht="14.4" x14ac:dyDescent="0.3">
      <c r="A2" s="4" t="s">
        <v>2</v>
      </c>
    </row>
    <row r="3" spans="1:19" ht="14.4" x14ac:dyDescent="0.3">
      <c r="A3" s="4" t="s">
        <v>3</v>
      </c>
    </row>
    <row r="4" spans="1:19" ht="14.4" x14ac:dyDescent="0.3">
      <c r="A4" s="5" t="s">
        <v>4</v>
      </c>
      <c r="D4" s="5" t="s">
        <v>5</v>
      </c>
      <c r="E4" s="5" t="s">
        <v>6</v>
      </c>
      <c r="F4" s="5" t="s">
        <v>7</v>
      </c>
      <c r="G4" s="5" t="s">
        <v>8</v>
      </c>
      <c r="H4" s="5" t="s">
        <v>9</v>
      </c>
      <c r="I4" s="5" t="s">
        <v>10</v>
      </c>
      <c r="J4" s="5" t="s">
        <v>11</v>
      </c>
      <c r="K4" s="7">
        <f t="shared" ref="K4:N4" si="0">EDATE(J4,12)</f>
        <v>45382</v>
      </c>
      <c r="L4" s="7">
        <f t="shared" si="0"/>
        <v>45747</v>
      </c>
      <c r="M4" s="7">
        <f t="shared" si="0"/>
        <v>46112</v>
      </c>
      <c r="N4" s="7">
        <f t="shared" si="0"/>
        <v>46477</v>
      </c>
    </row>
    <row r="5" spans="1:19" ht="14.4" x14ac:dyDescent="0.3">
      <c r="A5" s="5" t="s">
        <v>12</v>
      </c>
      <c r="D5" s="5" t="s">
        <v>13</v>
      </c>
      <c r="E5" s="5" t="s">
        <v>14</v>
      </c>
      <c r="F5" s="5" t="s">
        <v>15</v>
      </c>
      <c r="G5" s="5" t="s">
        <v>16</v>
      </c>
      <c r="H5" s="5" t="s">
        <v>17</v>
      </c>
      <c r="I5" s="5" t="s">
        <v>18</v>
      </c>
      <c r="J5" s="5" t="s">
        <v>19</v>
      </c>
      <c r="K5" s="6" t="s">
        <v>20</v>
      </c>
      <c r="L5" s="6" t="s">
        <v>21</v>
      </c>
      <c r="M5" s="6" t="s">
        <v>22</v>
      </c>
      <c r="N5" s="6" t="s">
        <v>23</v>
      </c>
    </row>
    <row r="6" spans="1:19" ht="14.4" x14ac:dyDescent="0.3">
      <c r="K6" s="8"/>
      <c r="L6" s="8"/>
      <c r="M6" s="8"/>
      <c r="N6" s="8"/>
    </row>
    <row r="7" spans="1:19" ht="14.4" x14ac:dyDescent="0.3">
      <c r="A7" s="10" t="s">
        <v>60</v>
      </c>
      <c r="K7" s="8"/>
      <c r="L7" s="8"/>
      <c r="M7" s="8"/>
      <c r="N7" s="8"/>
    </row>
    <row r="8" spans="1:19" ht="14.4" x14ac:dyDescent="0.3">
      <c r="A8" s="10" t="s">
        <v>62</v>
      </c>
      <c r="K8" s="8"/>
      <c r="L8" s="8"/>
      <c r="M8" s="8"/>
      <c r="N8" s="8"/>
    </row>
    <row r="9" spans="1:19" ht="14.4" x14ac:dyDescent="0.3">
      <c r="A9" s="10" t="s">
        <v>61</v>
      </c>
      <c r="K9" s="8"/>
      <c r="L9" s="8"/>
      <c r="M9" s="8"/>
      <c r="N9" s="8"/>
    </row>
    <row r="10" spans="1:19" ht="15.6" x14ac:dyDescent="0.3">
      <c r="A10" s="69" t="s">
        <v>63</v>
      </c>
      <c r="F10" s="11">
        <f>118231/100</f>
        <v>1182.31</v>
      </c>
      <c r="G10" s="11">
        <f>128526/100</f>
        <v>1285.26</v>
      </c>
      <c r="H10" s="16">
        <v>1216</v>
      </c>
      <c r="I10" s="16">
        <v>1218</v>
      </c>
      <c r="J10" s="16">
        <v>1343</v>
      </c>
      <c r="K10" s="37">
        <f ca="1">'Asset Schedule'!K14</f>
        <v>1265.2947237007743</v>
      </c>
      <c r="L10" s="37">
        <f ca="1">'Asset Schedule'!L14</f>
        <v>1335.7329256463138</v>
      </c>
      <c r="M10" s="37">
        <f ca="1">'Asset Schedule'!M14</f>
        <v>1529.2815140327086</v>
      </c>
      <c r="N10" s="37">
        <f ca="1">'Asset Schedule'!N14</f>
        <v>1836.3199417266178</v>
      </c>
    </row>
    <row r="11" spans="1:19" ht="15.6" x14ac:dyDescent="0.3">
      <c r="A11" t="s">
        <v>64</v>
      </c>
      <c r="F11" s="11">
        <f>2895/100</f>
        <v>28.95</v>
      </c>
      <c r="G11" s="11">
        <f>1152/100</f>
        <v>11.52</v>
      </c>
      <c r="H11" s="16">
        <v>19</v>
      </c>
      <c r="I11" s="16">
        <v>69</v>
      </c>
      <c r="J11" s="16">
        <v>133</v>
      </c>
      <c r="K11" s="40">
        <f>J11</f>
        <v>133</v>
      </c>
      <c r="L11" s="40">
        <f t="shared" ref="L11:N11" si="1">K11</f>
        <v>133</v>
      </c>
      <c r="M11" s="40">
        <f t="shared" si="1"/>
        <v>133</v>
      </c>
      <c r="N11" s="40">
        <f t="shared" si="1"/>
        <v>133</v>
      </c>
    </row>
    <row r="12" spans="1:19" ht="15.6" x14ac:dyDescent="0.3">
      <c r="A12" t="s">
        <v>65</v>
      </c>
      <c r="F12" s="11">
        <f>0</f>
        <v>0</v>
      </c>
      <c r="G12" s="11">
        <f>93486/100</f>
        <v>934.86</v>
      </c>
      <c r="H12" s="16">
        <v>917</v>
      </c>
      <c r="I12" s="16">
        <v>973</v>
      </c>
      <c r="J12" s="16">
        <v>1285</v>
      </c>
      <c r="K12" s="40">
        <f t="shared" ref="K12:N23" si="2">J12</f>
        <v>1285</v>
      </c>
      <c r="L12" s="40">
        <f t="shared" si="2"/>
        <v>1285</v>
      </c>
      <c r="M12" s="40">
        <f t="shared" si="2"/>
        <v>1285</v>
      </c>
      <c r="N12" s="40">
        <f t="shared" si="2"/>
        <v>1285</v>
      </c>
    </row>
    <row r="13" spans="1:19" ht="15.6" x14ac:dyDescent="0.3">
      <c r="A13" t="s">
        <v>66</v>
      </c>
      <c r="F13" s="11">
        <f>2402/100</f>
        <v>24.02</v>
      </c>
      <c r="G13" s="11">
        <f>2402/100</f>
        <v>24.02</v>
      </c>
      <c r="H13" s="16">
        <v>24</v>
      </c>
      <c r="I13" s="16">
        <v>1</v>
      </c>
      <c r="J13" s="16">
        <v>1</v>
      </c>
      <c r="K13" s="40">
        <f t="shared" si="2"/>
        <v>1</v>
      </c>
      <c r="L13" s="40">
        <f t="shared" si="2"/>
        <v>1</v>
      </c>
      <c r="M13" s="40">
        <f t="shared" si="2"/>
        <v>1</v>
      </c>
      <c r="N13" s="40">
        <f t="shared" si="2"/>
        <v>1</v>
      </c>
    </row>
    <row r="14" spans="1:19" ht="15.6" x14ac:dyDescent="0.3">
      <c r="A14" t="s">
        <v>67</v>
      </c>
      <c r="D14" s="9" t="s">
        <v>24</v>
      </c>
      <c r="E14" s="9" t="s">
        <v>25</v>
      </c>
      <c r="F14" s="11">
        <f>12301/100</f>
        <v>123.01</v>
      </c>
      <c r="G14" s="11">
        <f>12301/100</f>
        <v>123.01</v>
      </c>
      <c r="H14" s="16">
        <v>123</v>
      </c>
      <c r="I14" s="16">
        <v>123</v>
      </c>
      <c r="J14" s="16">
        <v>123</v>
      </c>
      <c r="K14" s="40">
        <f t="shared" si="2"/>
        <v>123</v>
      </c>
      <c r="L14" s="40">
        <f t="shared" si="2"/>
        <v>123</v>
      </c>
      <c r="M14" s="40">
        <f t="shared" si="2"/>
        <v>123</v>
      </c>
      <c r="N14" s="40">
        <f t="shared" si="2"/>
        <v>123</v>
      </c>
    </row>
    <row r="15" spans="1:19" ht="15.6" x14ac:dyDescent="0.3">
      <c r="A15" t="s">
        <v>68</v>
      </c>
      <c r="D15" s="9"/>
      <c r="E15" s="9" t="s">
        <v>26</v>
      </c>
      <c r="F15" s="11">
        <f>23729/100</f>
        <v>237.29</v>
      </c>
      <c r="G15" s="11">
        <f>26628/100</f>
        <v>266.27999999999997</v>
      </c>
      <c r="H15" s="16">
        <v>243</v>
      </c>
      <c r="I15" s="16">
        <v>229</v>
      </c>
      <c r="J15" s="16">
        <v>246</v>
      </c>
      <c r="K15" s="40">
        <f t="shared" si="2"/>
        <v>246</v>
      </c>
      <c r="L15" s="40">
        <f t="shared" ref="L15:N15" si="3">K15</f>
        <v>246</v>
      </c>
      <c r="M15" s="40">
        <f t="shared" si="3"/>
        <v>246</v>
      </c>
      <c r="N15" s="40">
        <f t="shared" si="3"/>
        <v>246</v>
      </c>
    </row>
    <row r="16" spans="1:19" ht="15.6" x14ac:dyDescent="0.3">
      <c r="A16" t="s">
        <v>69</v>
      </c>
      <c r="D16" s="9"/>
      <c r="E16" s="9" t="s">
        <v>27</v>
      </c>
      <c r="F16" s="11">
        <f>282/100</f>
        <v>2.82</v>
      </c>
      <c r="G16" s="11">
        <f>672/100</f>
        <v>6.72</v>
      </c>
      <c r="H16" s="16">
        <v>13</v>
      </c>
      <c r="I16" s="16">
        <v>16</v>
      </c>
      <c r="J16" s="16">
        <v>11</v>
      </c>
      <c r="K16" s="40">
        <f t="shared" si="2"/>
        <v>11</v>
      </c>
      <c r="L16" s="40">
        <f t="shared" ref="L16:N16" si="4">K16</f>
        <v>11</v>
      </c>
      <c r="M16" s="40">
        <f t="shared" si="4"/>
        <v>11</v>
      </c>
      <c r="N16" s="40">
        <f t="shared" si="4"/>
        <v>11</v>
      </c>
    </row>
    <row r="17" spans="1:14" ht="15.6" x14ac:dyDescent="0.3">
      <c r="A17" t="s">
        <v>70</v>
      </c>
      <c r="K17" s="40">
        <f t="shared" si="2"/>
        <v>0</v>
      </c>
      <c r="L17" s="40">
        <f t="shared" ref="L17:N17" si="5">K17</f>
        <v>0</v>
      </c>
      <c r="M17" s="40">
        <f t="shared" si="5"/>
        <v>0</v>
      </c>
      <c r="N17" s="40">
        <f t="shared" si="5"/>
        <v>0</v>
      </c>
    </row>
    <row r="18" spans="1:14" ht="15.6" x14ac:dyDescent="0.3">
      <c r="A18" t="s">
        <v>71</v>
      </c>
      <c r="F18" s="11">
        <f>3920/100</f>
        <v>39.200000000000003</v>
      </c>
      <c r="G18" s="11">
        <f>4436/100</f>
        <v>44.36</v>
      </c>
      <c r="H18" s="16">
        <v>19</v>
      </c>
      <c r="I18" s="16">
        <v>279</v>
      </c>
      <c r="J18" s="16">
        <v>351</v>
      </c>
      <c r="K18" s="40">
        <f t="shared" si="2"/>
        <v>351</v>
      </c>
      <c r="L18" s="40">
        <f t="shared" ref="L18:N18" si="6">K18</f>
        <v>351</v>
      </c>
      <c r="M18" s="40">
        <f t="shared" si="6"/>
        <v>351</v>
      </c>
      <c r="N18" s="40">
        <f t="shared" si="6"/>
        <v>351</v>
      </c>
    </row>
    <row r="19" spans="1:14" ht="15.6" x14ac:dyDescent="0.3">
      <c r="A19" t="s">
        <v>72</v>
      </c>
      <c r="F19" s="11">
        <f>12913/100</f>
        <v>129.13</v>
      </c>
      <c r="G19" s="11">
        <f>15350/100</f>
        <v>153.5</v>
      </c>
      <c r="H19" s="16">
        <v>43</v>
      </c>
      <c r="I19" s="16">
        <v>42</v>
      </c>
      <c r="J19" s="16">
        <v>54</v>
      </c>
      <c r="K19" s="40">
        <f t="shared" si="2"/>
        <v>54</v>
      </c>
      <c r="L19" s="40">
        <f t="shared" ref="L19:N19" si="7">K19</f>
        <v>54</v>
      </c>
      <c r="M19" s="40">
        <f t="shared" si="7"/>
        <v>54</v>
      </c>
      <c r="N19" s="40">
        <f t="shared" si="7"/>
        <v>54</v>
      </c>
    </row>
    <row r="20" spans="1:14" ht="15.6" x14ac:dyDescent="0.3">
      <c r="A20" t="s">
        <v>73</v>
      </c>
      <c r="F20" s="11">
        <f>812/100</f>
        <v>8.1199999999999992</v>
      </c>
      <c r="G20" s="11">
        <f>19870/100</f>
        <v>198.7</v>
      </c>
      <c r="H20" s="16">
        <v>326</v>
      </c>
      <c r="I20" s="16">
        <v>382</v>
      </c>
      <c r="J20" s="16">
        <v>595</v>
      </c>
      <c r="K20" s="40">
        <f t="shared" si="2"/>
        <v>595</v>
      </c>
      <c r="L20" s="40">
        <f t="shared" ref="L20:N20" si="8">K20</f>
        <v>595</v>
      </c>
      <c r="M20" s="40">
        <f t="shared" si="8"/>
        <v>595</v>
      </c>
      <c r="N20" s="40">
        <f t="shared" si="8"/>
        <v>595</v>
      </c>
    </row>
    <row r="21" spans="1:14" ht="15.75" customHeight="1" x14ac:dyDescent="0.3">
      <c r="A21" t="s">
        <v>74</v>
      </c>
      <c r="F21" s="11">
        <f>7418/100</f>
        <v>74.180000000000007</v>
      </c>
      <c r="G21" s="11">
        <f>15900/100</f>
        <v>159</v>
      </c>
      <c r="H21" s="16">
        <v>105</v>
      </c>
      <c r="I21" s="16">
        <v>187</v>
      </c>
      <c r="J21" s="16">
        <v>158</v>
      </c>
      <c r="K21" s="40">
        <f t="shared" si="2"/>
        <v>158</v>
      </c>
      <c r="L21" s="40">
        <f t="shared" ref="L21:N21" si="9">K21</f>
        <v>158</v>
      </c>
      <c r="M21" s="40">
        <f t="shared" si="9"/>
        <v>158</v>
      </c>
      <c r="N21" s="40">
        <f t="shared" si="9"/>
        <v>158</v>
      </c>
    </row>
    <row r="22" spans="1:14" ht="15.75" customHeight="1" x14ac:dyDescent="0.3">
      <c r="A22" t="s">
        <v>75</v>
      </c>
      <c r="F22" s="11">
        <f>12171/100</f>
        <v>121.71</v>
      </c>
      <c r="G22" s="11">
        <f>14370/100</f>
        <v>143.69999999999999</v>
      </c>
      <c r="H22" s="16">
        <v>121</v>
      </c>
      <c r="I22" s="16">
        <v>137</v>
      </c>
      <c r="J22" s="16">
        <v>151</v>
      </c>
      <c r="K22" s="40">
        <f t="shared" si="2"/>
        <v>151</v>
      </c>
      <c r="L22" s="40">
        <f t="shared" ref="L22:N22" si="10">K22</f>
        <v>151</v>
      </c>
      <c r="M22" s="40">
        <f t="shared" si="10"/>
        <v>151</v>
      </c>
      <c r="N22" s="40">
        <f t="shared" si="10"/>
        <v>151</v>
      </c>
    </row>
    <row r="23" spans="1:14" ht="15.75" customHeight="1" x14ac:dyDescent="0.3">
      <c r="A23" t="s">
        <v>76</v>
      </c>
      <c r="F23" s="11">
        <f>15721/100</f>
        <v>157.21</v>
      </c>
      <c r="G23" s="11">
        <f>7856/100</f>
        <v>78.56</v>
      </c>
      <c r="H23" s="16">
        <v>86</v>
      </c>
      <c r="I23" s="16">
        <v>84</v>
      </c>
      <c r="J23" s="16">
        <v>165</v>
      </c>
      <c r="K23" s="40">
        <f t="shared" si="2"/>
        <v>165</v>
      </c>
      <c r="L23" s="40">
        <f t="shared" ref="L23:N23" si="11">K23</f>
        <v>165</v>
      </c>
      <c r="M23" s="40">
        <f t="shared" si="11"/>
        <v>165</v>
      </c>
      <c r="N23" s="40">
        <f t="shared" si="11"/>
        <v>165</v>
      </c>
    </row>
    <row r="24" spans="1:14" ht="15.75" customHeight="1" x14ac:dyDescent="0.3">
      <c r="K24" s="8"/>
      <c r="L24" s="8"/>
      <c r="M24" s="8"/>
      <c r="N24" s="8"/>
    </row>
    <row r="25" spans="1:14" ht="15.75" customHeight="1" x14ac:dyDescent="0.3">
      <c r="F25" s="24">
        <f t="shared" ref="F25:N25" si="12">SUM(F10:F23)</f>
        <v>2127.9499999999998</v>
      </c>
      <c r="G25" s="24">
        <f t="shared" si="12"/>
        <v>3429.4899999999993</v>
      </c>
      <c r="H25" s="24">
        <f t="shared" si="12"/>
        <v>3255</v>
      </c>
      <c r="I25" s="24">
        <f t="shared" si="12"/>
        <v>3740</v>
      </c>
      <c r="J25" s="24">
        <f t="shared" si="12"/>
        <v>4616</v>
      </c>
      <c r="K25" s="43">
        <f t="shared" ca="1" si="12"/>
        <v>4538.2947237007738</v>
      </c>
      <c r="L25" s="43">
        <f t="shared" ca="1" si="12"/>
        <v>4608.7329256463136</v>
      </c>
      <c r="M25" s="43">
        <f t="shared" ca="1" si="12"/>
        <v>4802.2815140327084</v>
      </c>
      <c r="N25" s="43">
        <f t="shared" ca="1" si="12"/>
        <v>5109.3199417266178</v>
      </c>
    </row>
    <row r="26" spans="1:14" ht="15.75" customHeight="1" x14ac:dyDescent="0.3">
      <c r="A26" s="10" t="s">
        <v>77</v>
      </c>
      <c r="K26" s="8"/>
      <c r="L26" s="8"/>
      <c r="M26" s="8"/>
      <c r="N26" s="8"/>
    </row>
    <row r="27" spans="1:14" ht="15.75" customHeight="1" x14ac:dyDescent="0.3">
      <c r="A27" s="69" t="s">
        <v>78</v>
      </c>
      <c r="F27" s="11">
        <f>703882/100</f>
        <v>7038.82</v>
      </c>
      <c r="G27" s="11">
        <f>810298/100</f>
        <v>8102.98</v>
      </c>
      <c r="H27" s="16">
        <v>8408</v>
      </c>
      <c r="I27" s="16">
        <v>13609</v>
      </c>
      <c r="J27" s="16">
        <v>16584</v>
      </c>
      <c r="K27" s="74">
        <f ca="1">K79/365*IS!K13</f>
        <v>8493.1845145677835</v>
      </c>
      <c r="L27" s="74">
        <f ca="1">L79/365*IS!L13</f>
        <v>10987.979806890173</v>
      </c>
      <c r="M27" s="74">
        <f ca="1">M79/365*IS!M13</f>
        <v>14077.429606127129</v>
      </c>
      <c r="N27" s="74">
        <f ca="1">N79/365*IS!N13</f>
        <v>17893.516337508259</v>
      </c>
    </row>
    <row r="28" spans="1:14" ht="15.75" customHeight="1" x14ac:dyDescent="0.3">
      <c r="A28" t="s">
        <v>70</v>
      </c>
      <c r="F28" s="11"/>
      <c r="G28" s="11"/>
      <c r="H28" s="16"/>
      <c r="I28" s="16"/>
      <c r="J28" s="16"/>
      <c r="K28" s="8"/>
      <c r="L28" s="8"/>
      <c r="M28" s="8"/>
      <c r="N28" s="8"/>
    </row>
    <row r="29" spans="1:14" ht="15.75" customHeight="1" x14ac:dyDescent="0.3">
      <c r="A29" t="s">
        <v>71</v>
      </c>
      <c r="F29" s="11">
        <f>6922/100</f>
        <v>69.22</v>
      </c>
      <c r="G29" s="11">
        <f>11357/100</f>
        <v>113.57</v>
      </c>
      <c r="H29" s="16">
        <v>2805</v>
      </c>
      <c r="I29" s="16">
        <v>15</v>
      </c>
      <c r="J29" s="16">
        <v>2164</v>
      </c>
      <c r="K29" s="40">
        <f>J29</f>
        <v>2164</v>
      </c>
      <c r="L29" s="40">
        <f t="shared" ref="L29:N29" si="13">K29</f>
        <v>2164</v>
      </c>
      <c r="M29" s="40">
        <f t="shared" si="13"/>
        <v>2164</v>
      </c>
      <c r="N29" s="40">
        <f t="shared" si="13"/>
        <v>2164</v>
      </c>
    </row>
    <row r="30" spans="1:14" ht="15.75" customHeight="1" x14ac:dyDescent="0.3">
      <c r="A30" s="69" t="s">
        <v>79</v>
      </c>
      <c r="F30" s="11">
        <f>42045/100</f>
        <v>420.45</v>
      </c>
      <c r="G30" s="11">
        <f>31155/100</f>
        <v>311.55</v>
      </c>
      <c r="H30" s="16">
        <v>366</v>
      </c>
      <c r="I30" s="16">
        <v>565</v>
      </c>
      <c r="J30" s="16">
        <v>674</v>
      </c>
      <c r="K30" s="37">
        <f ca="1">K77/365*IS!K7</f>
        <v>882.75575648762322</v>
      </c>
      <c r="L30" s="37">
        <f ca="1">L77/365*IS!L7</f>
        <v>1142.0571883331654</v>
      </c>
      <c r="M30" s="37">
        <f ca="1">M77/365*IS!M7</f>
        <v>1463.1652002900614</v>
      </c>
      <c r="N30" s="37">
        <f ca="1">N77/365*IS!N7</f>
        <v>1859.797644057729</v>
      </c>
    </row>
    <row r="31" spans="1:14" ht="15.75" customHeight="1" x14ac:dyDescent="0.3">
      <c r="A31" t="s">
        <v>80</v>
      </c>
      <c r="F31" s="11">
        <f>42953/100</f>
        <v>429.53</v>
      </c>
      <c r="G31" s="11">
        <f>7549/100</f>
        <v>75.489999999999995</v>
      </c>
      <c r="H31" s="16">
        <v>181</v>
      </c>
      <c r="I31" s="16">
        <v>219</v>
      </c>
      <c r="J31" s="16">
        <v>232</v>
      </c>
      <c r="K31" s="40">
        <f>J31</f>
        <v>232</v>
      </c>
      <c r="L31" s="40">
        <f t="shared" ref="L31:N31" si="14">K31</f>
        <v>232</v>
      </c>
      <c r="M31" s="40">
        <f t="shared" si="14"/>
        <v>232</v>
      </c>
      <c r="N31" s="40">
        <f t="shared" si="14"/>
        <v>232</v>
      </c>
    </row>
    <row r="32" spans="1:14" ht="15.75" customHeight="1" x14ac:dyDescent="0.3">
      <c r="A32" t="s">
        <v>81</v>
      </c>
      <c r="F32" s="11">
        <f>63695/100</f>
        <v>636.95000000000005</v>
      </c>
      <c r="G32" s="11">
        <f>30564/100</f>
        <v>305.64</v>
      </c>
      <c r="H32" s="16">
        <v>379</v>
      </c>
      <c r="I32" s="16">
        <v>1354</v>
      </c>
      <c r="J32" s="16">
        <v>1111</v>
      </c>
      <c r="K32" s="40">
        <f>J32</f>
        <v>1111</v>
      </c>
      <c r="L32" s="40">
        <f t="shared" ref="L32:N32" si="15">K32</f>
        <v>1111</v>
      </c>
      <c r="M32" s="40">
        <f t="shared" si="15"/>
        <v>1111</v>
      </c>
      <c r="N32" s="40">
        <f t="shared" si="15"/>
        <v>1111</v>
      </c>
    </row>
    <row r="33" spans="1:18" ht="15.75" customHeight="1" x14ac:dyDescent="0.3">
      <c r="A33" t="s">
        <v>72</v>
      </c>
      <c r="F33" s="11">
        <f>24660/100</f>
        <v>246.6</v>
      </c>
      <c r="G33" s="11">
        <f>5610/100</f>
        <v>56.1</v>
      </c>
      <c r="H33" s="16">
        <v>76</v>
      </c>
      <c r="I33" s="16">
        <v>423</v>
      </c>
      <c r="J33" s="16">
        <v>135</v>
      </c>
      <c r="K33" s="40">
        <f>J33</f>
        <v>135</v>
      </c>
      <c r="L33" s="40">
        <f t="shared" ref="L33:N34" si="16">K33</f>
        <v>135</v>
      </c>
      <c r="M33" s="40">
        <f t="shared" si="16"/>
        <v>135</v>
      </c>
      <c r="N33" s="40">
        <f t="shared" si="16"/>
        <v>135</v>
      </c>
    </row>
    <row r="34" spans="1:18" ht="15.75" customHeight="1" x14ac:dyDescent="0.3">
      <c r="A34" t="s">
        <v>73</v>
      </c>
      <c r="F34" s="11">
        <f>9898/100</f>
        <v>98.98</v>
      </c>
      <c r="G34" s="11">
        <f>45906/100</f>
        <v>459.06</v>
      </c>
      <c r="H34" s="16">
        <v>230</v>
      </c>
      <c r="I34" s="16">
        <v>291</v>
      </c>
      <c r="J34" s="16">
        <v>201</v>
      </c>
      <c r="K34" s="40">
        <f>J34</f>
        <v>201</v>
      </c>
      <c r="L34" s="40">
        <f t="shared" ref="L34:N36" si="17">K34</f>
        <v>201</v>
      </c>
      <c r="M34" s="40">
        <f t="shared" si="17"/>
        <v>201</v>
      </c>
      <c r="N34" s="40">
        <f t="shared" si="17"/>
        <v>201</v>
      </c>
    </row>
    <row r="35" spans="1:18" ht="15.75" customHeight="1" x14ac:dyDescent="0.3">
      <c r="A35" t="s">
        <v>82</v>
      </c>
      <c r="F35" s="11"/>
      <c r="G35" s="11"/>
      <c r="H35" s="16"/>
      <c r="I35" s="16"/>
      <c r="J35" s="16">
        <v>18</v>
      </c>
      <c r="K35" s="40">
        <f>J35</f>
        <v>18</v>
      </c>
      <c r="L35" s="40">
        <f t="shared" si="17"/>
        <v>18</v>
      </c>
      <c r="M35" s="40">
        <f t="shared" si="17"/>
        <v>18</v>
      </c>
      <c r="N35" s="40">
        <f t="shared" si="17"/>
        <v>18</v>
      </c>
    </row>
    <row r="36" spans="1:18" ht="15.75" customHeight="1" x14ac:dyDescent="0.3">
      <c r="A36" t="s">
        <v>83</v>
      </c>
      <c r="F36" s="11">
        <f>64675/100</f>
        <v>646.75</v>
      </c>
      <c r="G36" s="11">
        <f>69591/100</f>
        <v>695.91</v>
      </c>
      <c r="H36" s="16">
        <v>752</v>
      </c>
      <c r="I36" s="16">
        <v>978</v>
      </c>
      <c r="J36" s="16">
        <v>1288</v>
      </c>
      <c r="K36" s="40">
        <f>J36</f>
        <v>1288</v>
      </c>
      <c r="L36" s="40">
        <f t="shared" si="17"/>
        <v>1288</v>
      </c>
      <c r="M36" s="40">
        <f t="shared" si="17"/>
        <v>1288</v>
      </c>
      <c r="N36" s="40">
        <f t="shared" si="17"/>
        <v>1288</v>
      </c>
    </row>
    <row r="37" spans="1:18" ht="15.75" customHeight="1" x14ac:dyDescent="0.3">
      <c r="H37"/>
      <c r="I37"/>
      <c r="J37"/>
      <c r="K37" s="8"/>
      <c r="L37" s="8"/>
      <c r="M37" s="8"/>
      <c r="N37" s="8"/>
    </row>
    <row r="38" spans="1:18" ht="15.75" customHeight="1" x14ac:dyDescent="0.3">
      <c r="A38" s="10" t="s">
        <v>84</v>
      </c>
      <c r="F38" s="24">
        <f t="shared" ref="F38:H38" si="18">SUM(F10:F23,F27:F36)</f>
        <v>11715.250000000002</v>
      </c>
      <c r="G38" s="24">
        <f t="shared" si="18"/>
        <v>13549.789999999997</v>
      </c>
      <c r="H38" s="24">
        <f t="shared" si="18"/>
        <v>16452</v>
      </c>
      <c r="I38" s="24">
        <f>SUM(I10:I23,I27:I36)</f>
        <v>21194</v>
      </c>
      <c r="J38" s="24">
        <f>SUM(J10:J23,J27:J36)</f>
        <v>27023</v>
      </c>
      <c r="K38" s="43">
        <f t="shared" ref="K38:N38" ca="1" si="19">SUM(K10:K23,K27:K36)</f>
        <v>19063.234994756182</v>
      </c>
      <c r="L38" s="43">
        <f t="shared" ca="1" si="19"/>
        <v>21887.76992086965</v>
      </c>
      <c r="M38" s="43">
        <f t="shared" ca="1" si="19"/>
        <v>25491.876320449901</v>
      </c>
      <c r="N38" s="43">
        <f t="shared" ca="1" si="19"/>
        <v>30011.633923292608</v>
      </c>
    </row>
    <row r="39" spans="1:18" ht="15.75" customHeight="1" x14ac:dyDescent="0.3">
      <c r="K39" s="8"/>
      <c r="L39" s="8"/>
      <c r="M39" s="8"/>
      <c r="N39" s="8"/>
    </row>
    <row r="40" spans="1:18" ht="15.75" customHeight="1" x14ac:dyDescent="0.3">
      <c r="A40" s="10" t="s">
        <v>85</v>
      </c>
      <c r="K40" s="8"/>
      <c r="L40" s="8"/>
      <c r="M40" s="8"/>
      <c r="N40" s="8"/>
    </row>
    <row r="41" spans="1:18" ht="15.75" customHeight="1" x14ac:dyDescent="0.3">
      <c r="A41" s="10" t="s">
        <v>86</v>
      </c>
      <c r="K41" s="8"/>
      <c r="L41" s="8"/>
      <c r="M41" s="8"/>
      <c r="N41" s="8"/>
    </row>
    <row r="42" spans="1:18" ht="15.75" customHeight="1" x14ac:dyDescent="0.3">
      <c r="A42" t="s">
        <v>87</v>
      </c>
      <c r="F42" s="11">
        <f>8878/100</f>
        <v>88.78</v>
      </c>
      <c r="G42" s="11">
        <f>8878/100</f>
        <v>88.78</v>
      </c>
      <c r="H42" s="16">
        <v>89</v>
      </c>
      <c r="I42" s="16">
        <v>89</v>
      </c>
      <c r="J42" s="16">
        <v>89</v>
      </c>
      <c r="K42" s="40">
        <f>J42</f>
        <v>89</v>
      </c>
      <c r="L42" s="40">
        <f t="shared" ref="L42:M42" si="20">K42</f>
        <v>89</v>
      </c>
      <c r="M42" s="40">
        <f t="shared" si="20"/>
        <v>89</v>
      </c>
      <c r="N42" s="40">
        <f>M42</f>
        <v>89</v>
      </c>
      <c r="O42" s="24"/>
      <c r="P42" s="24"/>
      <c r="Q42" s="24"/>
      <c r="R42" s="24"/>
    </row>
    <row r="43" spans="1:18" ht="15.75" customHeight="1" x14ac:dyDescent="0.3">
      <c r="A43" s="69" t="s">
        <v>88</v>
      </c>
      <c r="F43" s="11">
        <f>598137/100</f>
        <v>5981.37</v>
      </c>
      <c r="G43" s="11">
        <f>657997/100</f>
        <v>6579.97</v>
      </c>
      <c r="H43" s="16">
        <v>7408</v>
      </c>
      <c r="I43" s="16">
        <v>9214</v>
      </c>
      <c r="J43" s="16">
        <v>11762</v>
      </c>
      <c r="K43" s="37">
        <f ca="1">J43+IS!K45</f>
        <v>23289.820895897898</v>
      </c>
      <c r="L43" s="37">
        <f ca="1">K43+IS!L45</f>
        <v>38329.695341369727</v>
      </c>
      <c r="M43" s="37">
        <f ca="1">L43+IS!M45</f>
        <v>57674.3260355128</v>
      </c>
      <c r="N43" s="37">
        <f ca="1">M43+IS!N45</f>
        <v>82307.790910484502</v>
      </c>
    </row>
    <row r="44" spans="1:18" ht="15.75" customHeight="1" x14ac:dyDescent="0.3">
      <c r="A44" t="s">
        <v>89</v>
      </c>
      <c r="F44" s="11">
        <f>1408/100</f>
        <v>14.08</v>
      </c>
      <c r="G44" s="11">
        <f>440/100</f>
        <v>4.4000000000000004</v>
      </c>
      <c r="H44" s="16">
        <v>5</v>
      </c>
      <c r="I44" s="16">
        <v>30</v>
      </c>
      <c r="J44" s="16">
        <v>53</v>
      </c>
      <c r="K44" s="40">
        <f>J44</f>
        <v>53</v>
      </c>
      <c r="L44" s="40">
        <f t="shared" ref="L44:N44" si="21">K44</f>
        <v>53</v>
      </c>
      <c r="M44" s="40">
        <f t="shared" si="21"/>
        <v>53</v>
      </c>
      <c r="N44" s="40">
        <f t="shared" si="21"/>
        <v>53</v>
      </c>
    </row>
    <row r="45" spans="1:18" ht="15.75" customHeight="1" x14ac:dyDescent="0.3">
      <c r="A45" s="10" t="s">
        <v>90</v>
      </c>
      <c r="F45" s="24">
        <f t="shared" ref="F45:N45" si="22">SUM(F42:F44)</f>
        <v>6084.23</v>
      </c>
      <c r="G45" s="24">
        <f t="shared" si="22"/>
        <v>6673.15</v>
      </c>
      <c r="H45" s="24">
        <f t="shared" si="22"/>
        <v>7502</v>
      </c>
      <c r="I45" s="24">
        <f t="shared" si="22"/>
        <v>9333</v>
      </c>
      <c r="J45" s="24">
        <f t="shared" si="22"/>
        <v>11904</v>
      </c>
      <c r="K45" s="43">
        <f t="shared" ca="1" si="22"/>
        <v>23431.820895897898</v>
      </c>
      <c r="L45" s="43">
        <f t="shared" ca="1" si="22"/>
        <v>38471.695341369727</v>
      </c>
      <c r="M45" s="43">
        <f t="shared" ca="1" si="22"/>
        <v>57816.3260355128</v>
      </c>
      <c r="N45" s="43">
        <f t="shared" ca="1" si="22"/>
        <v>82449.790910484502</v>
      </c>
    </row>
    <row r="46" spans="1:18" ht="15.75" customHeight="1" x14ac:dyDescent="0.3">
      <c r="K46" s="8"/>
      <c r="L46" s="8"/>
      <c r="M46" s="8"/>
      <c r="N46" s="8"/>
    </row>
    <row r="47" spans="1:18" ht="15.75" customHeight="1" x14ac:dyDescent="0.3">
      <c r="A47" s="10" t="s">
        <v>91</v>
      </c>
      <c r="K47" s="8"/>
      <c r="L47" s="8"/>
      <c r="M47" s="8"/>
      <c r="N47" s="8"/>
    </row>
    <row r="48" spans="1:18" ht="15.75" customHeight="1" x14ac:dyDescent="0.3">
      <c r="A48" s="10" t="s">
        <v>92</v>
      </c>
      <c r="K48" s="8"/>
      <c r="L48" s="8"/>
      <c r="M48" s="8"/>
      <c r="N48" s="8"/>
    </row>
    <row r="49" spans="1:14" ht="15.75" customHeight="1" x14ac:dyDescent="0.3">
      <c r="A49" t="s">
        <v>93</v>
      </c>
      <c r="K49" s="8"/>
      <c r="L49" s="8"/>
      <c r="M49" s="8"/>
      <c r="N49" s="8"/>
    </row>
    <row r="50" spans="1:14" ht="15.75" customHeight="1" x14ac:dyDescent="0.3">
      <c r="A50" t="s">
        <v>94</v>
      </c>
      <c r="F50" s="11">
        <f>3167/100</f>
        <v>31.67</v>
      </c>
      <c r="G50" s="11">
        <f>1697/100</f>
        <v>16.97</v>
      </c>
      <c r="H50" s="16">
        <v>9</v>
      </c>
      <c r="I50" s="16">
        <v>2</v>
      </c>
      <c r="J50" s="16">
        <v>0</v>
      </c>
      <c r="K50" s="40">
        <f>J50</f>
        <v>0</v>
      </c>
      <c r="L50" s="40">
        <f t="shared" ref="L50:N50" si="23">K50</f>
        <v>0</v>
      </c>
      <c r="M50" s="40">
        <f t="shared" si="23"/>
        <v>0</v>
      </c>
      <c r="N50" s="40">
        <f t="shared" si="23"/>
        <v>0</v>
      </c>
    </row>
    <row r="51" spans="1:14" ht="15.75" customHeight="1" x14ac:dyDescent="0.3">
      <c r="A51" t="s">
        <v>95</v>
      </c>
      <c r="F51" s="11">
        <f>0</f>
        <v>0</v>
      </c>
      <c r="G51" s="11">
        <f>105629/100</f>
        <v>1056.29</v>
      </c>
      <c r="H51" s="16">
        <v>1059</v>
      </c>
      <c r="I51" s="16">
        <v>1138</v>
      </c>
      <c r="J51" s="16">
        <v>1607</v>
      </c>
      <c r="K51" s="40">
        <f t="shared" ref="K51:N51" si="24">J51</f>
        <v>1607</v>
      </c>
      <c r="L51" s="40">
        <f t="shared" si="24"/>
        <v>1607</v>
      </c>
      <c r="M51" s="40">
        <f t="shared" si="24"/>
        <v>1607</v>
      </c>
      <c r="N51" s="40">
        <f t="shared" si="24"/>
        <v>1607</v>
      </c>
    </row>
    <row r="52" spans="1:14" ht="15.75" customHeight="1" x14ac:dyDescent="0.3">
      <c r="A52" t="s">
        <v>96</v>
      </c>
      <c r="F52" s="11">
        <f>133/100</f>
        <v>1.33</v>
      </c>
      <c r="G52" s="11">
        <f>452/100</f>
        <v>4.5199999999999996</v>
      </c>
      <c r="H52" s="16">
        <v>3</v>
      </c>
      <c r="I52" s="16">
        <v>4</v>
      </c>
      <c r="J52" s="16">
        <v>4</v>
      </c>
      <c r="K52" s="40">
        <f t="shared" ref="K52:N52" si="25">J52</f>
        <v>4</v>
      </c>
      <c r="L52" s="40">
        <f t="shared" si="25"/>
        <v>4</v>
      </c>
      <c r="M52" s="40">
        <f t="shared" si="25"/>
        <v>4</v>
      </c>
      <c r="N52" s="40">
        <f t="shared" si="25"/>
        <v>4</v>
      </c>
    </row>
    <row r="53" spans="1:14" ht="15.75" customHeight="1" x14ac:dyDescent="0.3">
      <c r="A53" t="s">
        <v>97</v>
      </c>
      <c r="F53" s="11">
        <f>13068/100</f>
        <v>130.68</v>
      </c>
      <c r="G53" s="11">
        <f>16612/100</f>
        <v>166.12</v>
      </c>
      <c r="H53" s="16">
        <v>156</v>
      </c>
      <c r="I53" s="16">
        <v>198</v>
      </c>
      <c r="J53" s="16">
        <v>240</v>
      </c>
      <c r="K53" s="40">
        <f t="shared" ref="K53:N53" si="26">J53</f>
        <v>240</v>
      </c>
      <c r="L53" s="40">
        <f t="shared" si="26"/>
        <v>240</v>
      </c>
      <c r="M53" s="40">
        <f t="shared" si="26"/>
        <v>240</v>
      </c>
      <c r="N53" s="40">
        <f t="shared" si="26"/>
        <v>240</v>
      </c>
    </row>
    <row r="54" spans="1:14" ht="15.75" customHeight="1" x14ac:dyDescent="0.3">
      <c r="A54" t="s">
        <v>98</v>
      </c>
      <c r="F54" s="11">
        <f>541/100</f>
        <v>5.41</v>
      </c>
      <c r="G54" s="11">
        <f>619/100</f>
        <v>6.19</v>
      </c>
      <c r="H54" s="16">
        <v>8</v>
      </c>
      <c r="I54" s="16">
        <v>6</v>
      </c>
      <c r="J54" s="16">
        <v>3</v>
      </c>
      <c r="K54" s="40">
        <f t="shared" ref="K54:N54" si="27">J54</f>
        <v>3</v>
      </c>
      <c r="L54" s="40">
        <f t="shared" si="27"/>
        <v>3</v>
      </c>
      <c r="M54" s="40">
        <f t="shared" si="27"/>
        <v>3</v>
      </c>
      <c r="N54" s="40">
        <f t="shared" si="27"/>
        <v>3</v>
      </c>
    </row>
    <row r="55" spans="1:14" ht="15.75" customHeight="1" x14ac:dyDescent="0.3">
      <c r="A55" t="s">
        <v>99</v>
      </c>
      <c r="F55" s="11">
        <f>0</f>
        <v>0</v>
      </c>
      <c r="G55" s="11">
        <f>0</f>
        <v>0</v>
      </c>
      <c r="H55" s="16">
        <v>1</v>
      </c>
      <c r="I55" s="16">
        <v>1</v>
      </c>
      <c r="J55" s="16">
        <v>1</v>
      </c>
      <c r="K55" s="40">
        <f t="shared" ref="K55:N55" si="28">J55</f>
        <v>1</v>
      </c>
      <c r="L55" s="40">
        <f t="shared" si="28"/>
        <v>1</v>
      </c>
      <c r="M55" s="40">
        <f t="shared" si="28"/>
        <v>1</v>
      </c>
      <c r="N55" s="40">
        <f t="shared" si="28"/>
        <v>1</v>
      </c>
    </row>
    <row r="56" spans="1:14" ht="15.75" customHeight="1" x14ac:dyDescent="0.3">
      <c r="F56" s="24">
        <f t="shared" ref="F56:N56" si="29">SUM(F50:F55)</f>
        <v>169.09</v>
      </c>
      <c r="G56" s="24">
        <f t="shared" si="29"/>
        <v>1250.0900000000001</v>
      </c>
      <c r="H56" s="10">
        <f t="shared" si="29"/>
        <v>1236</v>
      </c>
      <c r="I56" s="10">
        <f t="shared" si="29"/>
        <v>1349</v>
      </c>
      <c r="J56" s="10">
        <f t="shared" si="29"/>
        <v>1855</v>
      </c>
      <c r="K56" s="6">
        <f t="shared" si="29"/>
        <v>1855</v>
      </c>
      <c r="L56" s="6">
        <f t="shared" si="29"/>
        <v>1855</v>
      </c>
      <c r="M56" s="6">
        <f t="shared" si="29"/>
        <v>1855</v>
      </c>
      <c r="N56" s="6">
        <f t="shared" si="29"/>
        <v>1855</v>
      </c>
    </row>
    <row r="57" spans="1:14" ht="15.75" customHeight="1" x14ac:dyDescent="0.3">
      <c r="A57" s="10" t="s">
        <v>100</v>
      </c>
      <c r="K57" s="8"/>
      <c r="L57" s="8"/>
      <c r="M57" s="8"/>
      <c r="N57" s="8"/>
    </row>
    <row r="58" spans="1:14" ht="15.75" customHeight="1" x14ac:dyDescent="0.3">
      <c r="A58" t="s">
        <v>93</v>
      </c>
      <c r="K58" s="8"/>
      <c r="L58" s="8"/>
      <c r="M58" s="8"/>
      <c r="N58" s="8"/>
    </row>
    <row r="59" spans="1:14" ht="15.75" customHeight="1" x14ac:dyDescent="0.3">
      <c r="A59" t="s">
        <v>101</v>
      </c>
      <c r="F59" s="11">
        <f>8/100</f>
        <v>0.08</v>
      </c>
      <c r="G59" s="11">
        <f>70590/100</f>
        <v>705.9</v>
      </c>
      <c r="H59" s="16">
        <v>163</v>
      </c>
      <c r="I59" s="16">
        <v>516</v>
      </c>
      <c r="J59" s="16">
        <v>2195</v>
      </c>
      <c r="K59" s="40">
        <f>J59</f>
        <v>2195</v>
      </c>
      <c r="L59" s="40">
        <f t="shared" ref="L59:N59" si="30">K59</f>
        <v>2195</v>
      </c>
      <c r="M59" s="40">
        <f t="shared" si="30"/>
        <v>2195</v>
      </c>
      <c r="N59" s="40">
        <f t="shared" si="30"/>
        <v>2195</v>
      </c>
    </row>
    <row r="60" spans="1:14" ht="15.75" customHeight="1" x14ac:dyDescent="0.3">
      <c r="A60" s="69" t="s">
        <v>102</v>
      </c>
      <c r="F60" s="11">
        <f>235290/100</f>
        <v>2352.9</v>
      </c>
      <c r="G60" s="11">
        <f>158455/100</f>
        <v>1584.55</v>
      </c>
      <c r="H60" s="16">
        <v>4210</v>
      </c>
      <c r="I60" s="16">
        <v>5398</v>
      </c>
      <c r="J60" s="16">
        <v>5299</v>
      </c>
      <c r="K60" s="37">
        <f ca="1">'Asset Schedule'!K22</f>
        <v>3041.2994704667999</v>
      </c>
      <c r="L60" s="37">
        <f ca="1">'Asset Schedule'!L22</f>
        <v>3934.6533812936468</v>
      </c>
      <c r="M60" s="37">
        <f ca="1">'Asset Schedule'!M22</f>
        <v>5040.9453760497827</v>
      </c>
      <c r="N60" s="37">
        <f ca="1">'Asset Schedule'!N22</f>
        <v>6407.436653320171</v>
      </c>
    </row>
    <row r="61" spans="1:14" ht="15.75" customHeight="1" x14ac:dyDescent="0.3">
      <c r="A61" t="s">
        <v>103</v>
      </c>
      <c r="F61" s="11">
        <f>0</f>
        <v>0</v>
      </c>
      <c r="G61" s="11">
        <f>18668/100</f>
        <v>186.68</v>
      </c>
      <c r="H61" s="16">
        <v>197</v>
      </c>
      <c r="I61" s="16">
        <v>221</v>
      </c>
      <c r="J61" s="16">
        <v>266</v>
      </c>
      <c r="K61" s="40">
        <f>J61</f>
        <v>266</v>
      </c>
      <c r="L61" s="40">
        <f t="shared" ref="L61:N61" si="31">K61</f>
        <v>266</v>
      </c>
      <c r="M61" s="40">
        <f t="shared" si="31"/>
        <v>266</v>
      </c>
      <c r="N61" s="40">
        <f t="shared" si="31"/>
        <v>266</v>
      </c>
    </row>
    <row r="62" spans="1:14" ht="15.75" customHeight="1" x14ac:dyDescent="0.3">
      <c r="A62" s="69" t="s">
        <v>104</v>
      </c>
      <c r="F62" s="11"/>
      <c r="G62" s="11"/>
      <c r="H62" s="16"/>
      <c r="I62" s="16"/>
      <c r="J62" s="16"/>
      <c r="K62" s="8"/>
      <c r="L62" s="8"/>
      <c r="M62" s="8"/>
      <c r="N62" s="8"/>
    </row>
    <row r="63" spans="1:14" ht="15.75" customHeight="1" x14ac:dyDescent="0.3">
      <c r="A63" t="s">
        <v>105</v>
      </c>
      <c r="F63" s="11">
        <f>1573/100</f>
        <v>15.73</v>
      </c>
      <c r="G63" s="11">
        <f>6823/100</f>
        <v>68.23</v>
      </c>
      <c r="H63" s="16">
        <v>167</v>
      </c>
      <c r="I63" s="16">
        <v>242</v>
      </c>
      <c r="J63" s="16">
        <v>181</v>
      </c>
      <c r="K63" s="40">
        <f>J63</f>
        <v>181</v>
      </c>
      <c r="L63" s="40">
        <f>K63</f>
        <v>181</v>
      </c>
      <c r="M63" s="40">
        <f t="shared" ref="M63:N63" si="32">L63</f>
        <v>181</v>
      </c>
      <c r="N63" s="40">
        <f t="shared" si="32"/>
        <v>181</v>
      </c>
    </row>
    <row r="64" spans="1:14" ht="15.75" customHeight="1" x14ac:dyDescent="0.3">
      <c r="A64" t="s">
        <v>106</v>
      </c>
      <c r="F64" s="11">
        <f>89025/100</f>
        <v>890.25</v>
      </c>
      <c r="G64" s="11">
        <f>52848/100</f>
        <v>528.48</v>
      </c>
      <c r="H64" s="16">
        <v>622</v>
      </c>
      <c r="I64" s="16">
        <v>1052</v>
      </c>
      <c r="J64" s="16">
        <v>1033</v>
      </c>
      <c r="K64" s="37">
        <f ca="1">K78/365*IS!K13</f>
        <v>1555.0080738496279</v>
      </c>
      <c r="L64" s="37">
        <f ca="1">L78/365*IS!L13</f>
        <v>2011.7774770704386</v>
      </c>
      <c r="M64" s="37">
        <f ca="1">M78/365*IS!M13</f>
        <v>2577.4215382969901</v>
      </c>
      <c r="N64" s="37">
        <f ca="1">N78/365*IS!N13</f>
        <v>3276.1047786798913</v>
      </c>
    </row>
    <row r="65" spans="1:15" ht="15.75" customHeight="1" x14ac:dyDescent="0.3">
      <c r="A65" t="s">
        <v>107</v>
      </c>
      <c r="F65" s="11">
        <f>23843/100</f>
        <v>238.43</v>
      </c>
      <c r="G65" s="11">
        <f>21879/100</f>
        <v>218.79</v>
      </c>
      <c r="H65" s="16">
        <v>232</v>
      </c>
      <c r="I65" s="16">
        <v>440</v>
      </c>
      <c r="J65" s="16">
        <v>568</v>
      </c>
      <c r="K65" s="40">
        <f>J65</f>
        <v>568</v>
      </c>
      <c r="L65" s="40">
        <f>K65</f>
        <v>568</v>
      </c>
      <c r="M65" s="40">
        <f t="shared" ref="M65:N65" si="33">L65</f>
        <v>568</v>
      </c>
      <c r="N65" s="40">
        <f t="shared" si="33"/>
        <v>568</v>
      </c>
    </row>
    <row r="66" spans="1:15" ht="15.75" customHeight="1" x14ac:dyDescent="0.3">
      <c r="F66" s="11"/>
      <c r="G66" s="11"/>
      <c r="H66" s="16"/>
      <c r="I66" s="16"/>
      <c r="J66" s="16"/>
      <c r="K66" s="8"/>
      <c r="L66" s="8"/>
      <c r="M66" s="8"/>
      <c r="N66" s="8"/>
    </row>
    <row r="67" spans="1:15" ht="15.75" customHeight="1" x14ac:dyDescent="0.3">
      <c r="A67" t="s">
        <v>108</v>
      </c>
      <c r="F67" s="11">
        <f>188950/100</f>
        <v>1889.5</v>
      </c>
      <c r="G67" s="11">
        <f>220571/100</f>
        <v>2205.71</v>
      </c>
      <c r="H67" s="16">
        <v>2013</v>
      </c>
      <c r="I67" s="16">
        <v>2523</v>
      </c>
      <c r="J67" s="16">
        <v>3517</v>
      </c>
      <c r="K67" s="40">
        <f>J67</f>
        <v>3517</v>
      </c>
      <c r="L67" s="40">
        <f t="shared" ref="L67:N67" si="34">K67</f>
        <v>3517</v>
      </c>
      <c r="M67" s="40">
        <f t="shared" si="34"/>
        <v>3517</v>
      </c>
      <c r="N67" s="40">
        <f t="shared" si="34"/>
        <v>3517</v>
      </c>
    </row>
    <row r="68" spans="1:15" ht="15.75" customHeight="1" x14ac:dyDescent="0.3">
      <c r="A68" t="s">
        <v>109</v>
      </c>
      <c r="F68" s="11">
        <f>6534/100</f>
        <v>65.34</v>
      </c>
      <c r="G68" s="11">
        <f>11970/100</f>
        <v>119.7</v>
      </c>
      <c r="H68" s="16">
        <v>30</v>
      </c>
      <c r="I68" s="16">
        <v>38</v>
      </c>
      <c r="J68" s="16">
        <v>132</v>
      </c>
      <c r="K68" s="40">
        <f t="shared" ref="K68:N68" si="35">J68</f>
        <v>132</v>
      </c>
      <c r="L68" s="40">
        <f t="shared" si="35"/>
        <v>132</v>
      </c>
      <c r="M68" s="40">
        <f t="shared" si="35"/>
        <v>132</v>
      </c>
      <c r="N68" s="40">
        <f t="shared" si="35"/>
        <v>132</v>
      </c>
    </row>
    <row r="69" spans="1:15" ht="15.75" customHeight="1" x14ac:dyDescent="0.3">
      <c r="A69" t="s">
        <v>110</v>
      </c>
      <c r="F69" s="11">
        <f>970/100</f>
        <v>9.6999999999999993</v>
      </c>
      <c r="G69" s="11">
        <f>851/100</f>
        <v>8.51</v>
      </c>
      <c r="H69" s="16">
        <v>80</v>
      </c>
      <c r="I69" s="16">
        <v>82</v>
      </c>
      <c r="J69" s="16">
        <v>73</v>
      </c>
      <c r="K69" s="40">
        <f t="shared" ref="K69:N69" si="36">J69</f>
        <v>73</v>
      </c>
      <c r="L69" s="40">
        <f t="shared" si="36"/>
        <v>73</v>
      </c>
      <c r="M69" s="40">
        <f t="shared" si="36"/>
        <v>73</v>
      </c>
      <c r="N69" s="40">
        <f t="shared" si="36"/>
        <v>73</v>
      </c>
    </row>
    <row r="70" spans="1:15" ht="15.75" customHeight="1" x14ac:dyDescent="0.3">
      <c r="F70" s="24">
        <f t="shared" ref="F70:N70" si="37">SUM(F59:F69)</f>
        <v>5461.9299999999994</v>
      </c>
      <c r="G70" s="24">
        <f t="shared" si="37"/>
        <v>5626.55</v>
      </c>
      <c r="H70" s="10">
        <f t="shared" si="37"/>
        <v>7714</v>
      </c>
      <c r="I70" s="10">
        <f t="shared" si="37"/>
        <v>10512</v>
      </c>
      <c r="J70" s="10">
        <f t="shared" si="37"/>
        <v>13264</v>
      </c>
      <c r="K70" s="43">
        <f t="shared" ca="1" si="37"/>
        <v>11528.307544316427</v>
      </c>
      <c r="L70" s="43">
        <f t="shared" ca="1" si="37"/>
        <v>12878.430858364085</v>
      </c>
      <c r="M70" s="43">
        <f t="shared" ca="1" si="37"/>
        <v>14550.366914346772</v>
      </c>
      <c r="N70" s="43">
        <f t="shared" ca="1" si="37"/>
        <v>16615.541432000064</v>
      </c>
    </row>
    <row r="71" spans="1:15" ht="15.75" customHeight="1" x14ac:dyDescent="0.3">
      <c r="A71" s="10" t="s">
        <v>111</v>
      </c>
      <c r="F71" s="24">
        <f t="shared" ref="F71:H71" si="38">SUM(F45,F56,F70)</f>
        <v>11715.25</v>
      </c>
      <c r="G71" s="24">
        <f t="shared" si="38"/>
        <v>13549.79</v>
      </c>
      <c r="H71" s="10">
        <f t="shared" si="38"/>
        <v>16452</v>
      </c>
      <c r="I71" s="10">
        <f>SUM(I45,I56,I70)</f>
        <v>21194</v>
      </c>
      <c r="J71" s="10">
        <f>SUM(J45,J56,J70)</f>
        <v>27023</v>
      </c>
      <c r="K71" s="43">
        <f t="shared" ref="K71:N71" ca="1" si="39">SUM(K45,K56,K70)</f>
        <v>36815.128440214321</v>
      </c>
      <c r="L71" s="43">
        <f t="shared" ca="1" si="39"/>
        <v>53205.126199733815</v>
      </c>
      <c r="M71" s="43">
        <f t="shared" ca="1" si="39"/>
        <v>74221.692949859571</v>
      </c>
      <c r="N71" s="43">
        <f t="shared" ca="1" si="39"/>
        <v>100920.33234248456</v>
      </c>
    </row>
    <row r="72" spans="1:15" ht="15.75" customHeight="1" x14ac:dyDescent="0.3">
      <c r="K72" s="8"/>
      <c r="L72" s="8"/>
      <c r="M72" s="8"/>
      <c r="N72" s="8"/>
    </row>
    <row r="73" spans="1:15" ht="15.75" customHeight="1" x14ac:dyDescent="0.3">
      <c r="A73" s="25" t="s">
        <v>112</v>
      </c>
      <c r="B73" s="25"/>
      <c r="C73" s="25"/>
      <c r="D73" s="25"/>
      <c r="E73" s="25"/>
      <c r="F73" s="26">
        <f>F38-F71</f>
        <v>0</v>
      </c>
      <c r="G73" s="26">
        <f t="shared" ref="G73:J73" si="40">G38-G71</f>
        <v>0</v>
      </c>
      <c r="H73" s="26">
        <f t="shared" si="40"/>
        <v>0</v>
      </c>
      <c r="I73" s="26">
        <f t="shared" si="40"/>
        <v>0</v>
      </c>
      <c r="J73" s="26">
        <f t="shared" si="40"/>
        <v>0</v>
      </c>
      <c r="K73" s="8"/>
      <c r="L73" s="8"/>
      <c r="M73" s="8"/>
      <c r="N73" s="8"/>
    </row>
    <row r="74" spans="1:15" ht="15.75" customHeight="1" x14ac:dyDescent="0.3">
      <c r="K74" s="8"/>
      <c r="L74" s="8"/>
      <c r="M74" s="8"/>
      <c r="N74" s="8"/>
    </row>
    <row r="75" spans="1:15" ht="15.75" customHeight="1" x14ac:dyDescent="0.3">
      <c r="K75" s="8"/>
      <c r="L75" s="8"/>
      <c r="M75" s="8"/>
      <c r="N75" s="8"/>
    </row>
    <row r="76" spans="1:15" ht="15.75" customHeight="1" x14ac:dyDescent="0.3">
      <c r="A76" s="9" t="s">
        <v>219</v>
      </c>
      <c r="K76" s="8"/>
      <c r="L76" s="8"/>
      <c r="M76" s="8"/>
      <c r="N76" s="8"/>
    </row>
    <row r="77" spans="1:15" ht="15.75" customHeight="1" x14ac:dyDescent="0.3">
      <c r="A77" s="4" t="s">
        <v>220</v>
      </c>
      <c r="F77" s="29"/>
      <c r="G77" s="29">
        <f>G30/IS!G7*365</f>
        <v>5.4017782072000431</v>
      </c>
      <c r="H77" s="29">
        <f>H30/IS!H7*365</f>
        <v>6.172149325448161</v>
      </c>
      <c r="I77" s="29">
        <f>I30/IS!I7*365</f>
        <v>7.160838918017987</v>
      </c>
      <c r="J77" s="29">
        <f>J30/IS!J7*365</f>
        <v>6.0630930375847196</v>
      </c>
      <c r="K77" s="41">
        <f>J77</f>
        <v>6.0630930375847196</v>
      </c>
      <c r="L77" s="41">
        <f t="shared" ref="L77:N77" si="41">K77</f>
        <v>6.0630930375847196</v>
      </c>
      <c r="M77" s="41">
        <f t="shared" si="41"/>
        <v>6.0630930375847196</v>
      </c>
      <c r="N77" s="41">
        <f t="shared" si="41"/>
        <v>6.0630930375847196</v>
      </c>
    </row>
    <row r="78" spans="1:15" ht="15.75" customHeight="1" x14ac:dyDescent="0.3">
      <c r="A78" s="4" t="s">
        <v>221</v>
      </c>
      <c r="G78" s="29">
        <f>SUM(G63:G64)/IS!G13*365</f>
        <v>16.699392133620194</v>
      </c>
      <c r="H78" s="29">
        <f>SUM(H63:H64)/IS!H13*365</f>
        <v>21.000875082038942</v>
      </c>
      <c r="I78" s="29">
        <f>SUM(I63:I64)/IS!I13*365</f>
        <v>21.36375972498643</v>
      </c>
      <c r="J78" s="29">
        <f>SUM(J63:J64)/IS!J13*365</f>
        <v>16.478003793090625</v>
      </c>
      <c r="K78" s="41">
        <f>J78</f>
        <v>16.478003793090625</v>
      </c>
      <c r="L78" s="41">
        <f t="shared" ref="L78:N78" si="42">K78</f>
        <v>16.478003793090625</v>
      </c>
      <c r="M78" s="41">
        <f t="shared" si="42"/>
        <v>16.478003793090625</v>
      </c>
      <c r="N78" s="41">
        <f t="shared" si="42"/>
        <v>16.478003793090625</v>
      </c>
    </row>
    <row r="79" spans="1:15" ht="15.75" customHeight="1" x14ac:dyDescent="0.3">
      <c r="A79" s="4" t="s">
        <v>222</v>
      </c>
      <c r="G79" s="29">
        <f>G27/IS!G13*365</f>
        <v>226.76817963647628</v>
      </c>
      <c r="H79" s="29">
        <f>H27/IS!H13*365</f>
        <v>223.79639757893969</v>
      </c>
      <c r="I79" s="29">
        <f>I27/IS!I13*365</f>
        <v>224.68269404740366</v>
      </c>
      <c r="J79" s="29">
        <f>J27/IS!J13*365</f>
        <v>225.09984753263174</v>
      </c>
      <c r="K79" s="40">
        <f>90</f>
        <v>90</v>
      </c>
      <c r="L79" s="40">
        <f>90</f>
        <v>90</v>
      </c>
      <c r="M79" s="40">
        <f>90</f>
        <v>90</v>
      </c>
      <c r="N79" s="40">
        <f>90</f>
        <v>90</v>
      </c>
      <c r="O79" s="4" t="s">
        <v>226</v>
      </c>
    </row>
    <row r="80" spans="1:15" ht="15.75" customHeight="1" x14ac:dyDescent="0.3">
      <c r="K80" s="40"/>
      <c r="L80" s="40"/>
      <c r="M80" s="40"/>
      <c r="N80" s="40"/>
    </row>
    <row r="81" spans="1:14" ht="15.75" customHeight="1" x14ac:dyDescent="0.3">
      <c r="A81" s="4" t="s">
        <v>223</v>
      </c>
      <c r="G81" s="29">
        <f>IS!G7/'Balance Sheet'!G30</f>
        <v>67.570341839191144</v>
      </c>
      <c r="H81" s="29">
        <f>IS!H7/'Balance Sheet'!H30</f>
        <v>59.136612021857921</v>
      </c>
      <c r="I81" s="29">
        <f>IS!I7/'Balance Sheet'!I30</f>
        <v>50.971681415929204</v>
      </c>
      <c r="J81" s="29">
        <f>IS!J7/'Balance Sheet'!J30</f>
        <v>60.200296735905042</v>
      </c>
      <c r="K81" s="8"/>
      <c r="L81" s="8"/>
      <c r="M81" s="8"/>
      <c r="N81" s="8"/>
    </row>
    <row r="82" spans="1:14" ht="15.75" customHeight="1" x14ac:dyDescent="0.3">
      <c r="A82" s="4" t="s">
        <v>224</v>
      </c>
      <c r="G82" s="73">
        <f>IS!G13/'Balance Sheet'!G27</f>
        <v>1.6095732681063017</v>
      </c>
      <c r="H82" s="73">
        <f>IS!H13/'Balance Sheet'!H27</f>
        <v>1.6309467174119885</v>
      </c>
      <c r="I82" s="73">
        <f>IS!I13/'Balance Sheet'!I27</f>
        <v>1.6245131898008671</v>
      </c>
      <c r="J82" s="73">
        <f>IS!J13/'Balance Sheet'!J27</f>
        <v>1.6215026531596719</v>
      </c>
      <c r="K82" s="8"/>
      <c r="L82" s="8"/>
      <c r="M82" s="8"/>
      <c r="N82" s="8"/>
    </row>
    <row r="83" spans="1:14" ht="15.75" customHeight="1" x14ac:dyDescent="0.3">
      <c r="A83" s="4" t="s">
        <v>225</v>
      </c>
      <c r="G83" s="29">
        <f>IS!G13/('Balance Sheet'!G63+'Balance Sheet'!G64)</f>
        <v>21.857083005144876</v>
      </c>
      <c r="H83" s="29">
        <f>IS!H13/('Balance Sheet'!H63+'Balance Sheet'!H64)</f>
        <v>17.380228136882128</v>
      </c>
      <c r="I83" s="29">
        <f>IS!I13/('Balance Sheet'!I63+'Balance Sheet'!I64)</f>
        <v>17.08500772797527</v>
      </c>
      <c r="J83" s="29">
        <f>IS!J13/('Balance Sheet'!J63+'Balance Sheet'!J64)</f>
        <v>22.150741350906095</v>
      </c>
      <c r="K83" s="8"/>
      <c r="L83" s="8"/>
      <c r="M83" s="8"/>
      <c r="N83" s="8"/>
    </row>
    <row r="84" spans="1:14" ht="15.75" customHeight="1" x14ac:dyDescent="0.3">
      <c r="K84" s="8"/>
      <c r="L84" s="8"/>
      <c r="M84" s="8"/>
      <c r="N84" s="8"/>
    </row>
    <row r="85" spans="1:14" ht="15.75" customHeight="1" x14ac:dyDescent="0.3">
      <c r="K85" s="8"/>
      <c r="L85" s="8"/>
      <c r="M85" s="8"/>
      <c r="N85" s="8"/>
    </row>
    <row r="86" spans="1:14" ht="15.75" customHeight="1" x14ac:dyDescent="0.3">
      <c r="K86" s="8"/>
      <c r="L86" s="8"/>
      <c r="M86" s="8"/>
      <c r="N86" s="8"/>
    </row>
    <row r="87" spans="1:14" ht="15.75" customHeight="1" x14ac:dyDescent="0.3">
      <c r="K87" s="8"/>
      <c r="L87" s="8"/>
      <c r="M87" s="8"/>
      <c r="N87" s="8"/>
    </row>
    <row r="88" spans="1:14" ht="15.75" customHeight="1" x14ac:dyDescent="0.3">
      <c r="K88" s="8"/>
      <c r="L88" s="8"/>
      <c r="M88" s="8"/>
      <c r="N88" s="8"/>
    </row>
    <row r="89" spans="1:14" ht="15.75" customHeight="1" x14ac:dyDescent="0.3">
      <c r="K89" s="8"/>
      <c r="L89" s="8"/>
      <c r="M89" s="8"/>
      <c r="N89" s="8"/>
    </row>
    <row r="90" spans="1:14" ht="15.75" customHeight="1" x14ac:dyDescent="0.3">
      <c r="K90" s="8"/>
      <c r="L90" s="8"/>
      <c r="M90" s="8"/>
      <c r="N90" s="8"/>
    </row>
    <row r="91" spans="1:14" ht="15.75" customHeight="1" x14ac:dyDescent="0.3">
      <c r="K91" s="8"/>
      <c r="L91" s="8"/>
      <c r="M91" s="8"/>
      <c r="N91" s="8"/>
    </row>
    <row r="92" spans="1:14" ht="15.75" customHeight="1" x14ac:dyDescent="0.3">
      <c r="K92" s="8"/>
      <c r="L92" s="8"/>
      <c r="M92" s="8"/>
      <c r="N92" s="8"/>
    </row>
    <row r="93" spans="1:14" ht="15.75" customHeight="1" x14ac:dyDescent="0.3">
      <c r="K93" s="8"/>
      <c r="L93" s="8"/>
      <c r="M93" s="8"/>
      <c r="N93" s="8"/>
    </row>
    <row r="94" spans="1:14" ht="15.75" customHeight="1" x14ac:dyDescent="0.3">
      <c r="K94" s="8"/>
      <c r="L94" s="8"/>
      <c r="M94" s="8"/>
      <c r="N94" s="8"/>
    </row>
    <row r="95" spans="1:14" ht="15.75" customHeight="1" x14ac:dyDescent="0.3">
      <c r="K95" s="8"/>
      <c r="L95" s="8"/>
      <c r="M95" s="8"/>
      <c r="N95" s="8"/>
    </row>
    <row r="96" spans="1:14" ht="15.75" customHeight="1" x14ac:dyDescent="0.3">
      <c r="K96" s="8"/>
      <c r="L96" s="8"/>
      <c r="M96" s="8"/>
      <c r="N96" s="8"/>
    </row>
    <row r="97" spans="11:14" ht="15.75" customHeight="1" x14ac:dyDescent="0.3">
      <c r="K97" s="8"/>
      <c r="L97" s="8"/>
      <c r="M97" s="8"/>
      <c r="N97" s="8"/>
    </row>
    <row r="98" spans="11:14" ht="15.75" customHeight="1" x14ac:dyDescent="0.3">
      <c r="K98" s="8"/>
      <c r="L98" s="8"/>
      <c r="M98" s="8"/>
      <c r="N98" s="8"/>
    </row>
    <row r="99" spans="11:14" ht="15.75" customHeight="1" x14ac:dyDescent="0.3">
      <c r="K99" s="8"/>
      <c r="L99" s="8"/>
      <c r="M99" s="8"/>
      <c r="N99" s="8"/>
    </row>
    <row r="100" spans="11:14" ht="15.75" customHeight="1" x14ac:dyDescent="0.3">
      <c r="K100" s="8"/>
      <c r="L100" s="8"/>
      <c r="M100" s="8"/>
      <c r="N100" s="8"/>
    </row>
    <row r="101" spans="11:14" ht="15.75" customHeight="1" x14ac:dyDescent="0.3">
      <c r="K101" s="8"/>
      <c r="L101" s="8"/>
      <c r="M101" s="8"/>
      <c r="N101" s="8"/>
    </row>
    <row r="102" spans="11:14" ht="15.75" customHeight="1" x14ac:dyDescent="0.3">
      <c r="K102" s="8"/>
      <c r="L102" s="8"/>
      <c r="M102" s="8"/>
      <c r="N102" s="8"/>
    </row>
    <row r="103" spans="11:14" ht="15.75" customHeight="1" x14ac:dyDescent="0.3">
      <c r="K103" s="8"/>
      <c r="L103" s="8"/>
      <c r="M103" s="8"/>
      <c r="N103" s="8"/>
    </row>
    <row r="104" spans="11:14" ht="15.75" customHeight="1" x14ac:dyDescent="0.3">
      <c r="K104" s="8"/>
      <c r="L104" s="8"/>
      <c r="M104" s="8"/>
      <c r="N104" s="8"/>
    </row>
    <row r="105" spans="11:14" ht="15.75" customHeight="1" x14ac:dyDescent="0.3">
      <c r="K105" s="8"/>
      <c r="L105" s="8"/>
      <c r="M105" s="8"/>
      <c r="N105" s="8"/>
    </row>
    <row r="106" spans="11:14" ht="15.75" customHeight="1" x14ac:dyDescent="0.3">
      <c r="K106" s="8"/>
      <c r="L106" s="8"/>
      <c r="M106" s="8"/>
      <c r="N106" s="8"/>
    </row>
    <row r="107" spans="11:14" ht="15.75" customHeight="1" x14ac:dyDescent="0.3">
      <c r="K107" s="8"/>
      <c r="L107" s="8"/>
      <c r="M107" s="8"/>
      <c r="N107" s="8"/>
    </row>
    <row r="108" spans="11:14" ht="15.75" customHeight="1" x14ac:dyDescent="0.3">
      <c r="K108" s="8"/>
      <c r="L108" s="8"/>
      <c r="M108" s="8"/>
      <c r="N108" s="8"/>
    </row>
    <row r="109" spans="11:14" ht="15.75" customHeight="1" x14ac:dyDescent="0.3">
      <c r="K109" s="8"/>
      <c r="L109" s="8"/>
      <c r="M109" s="8"/>
      <c r="N109" s="8"/>
    </row>
    <row r="110" spans="11:14" ht="15.75" customHeight="1" x14ac:dyDescent="0.3">
      <c r="K110" s="8"/>
      <c r="L110" s="8"/>
      <c r="M110" s="8"/>
      <c r="N110" s="8"/>
    </row>
    <row r="111" spans="11:14" ht="15.75" customHeight="1" x14ac:dyDescent="0.3">
      <c r="K111" s="8"/>
      <c r="L111" s="8"/>
      <c r="M111" s="8"/>
      <c r="N111" s="8"/>
    </row>
    <row r="112" spans="11:14" ht="15.75" customHeight="1" x14ac:dyDescent="0.3">
      <c r="K112" s="8"/>
      <c r="L112" s="8"/>
      <c r="M112" s="8"/>
      <c r="N112" s="8"/>
    </row>
    <row r="113" spans="11:14" ht="15.75" customHeight="1" x14ac:dyDescent="0.3">
      <c r="K113" s="8"/>
      <c r="L113" s="8"/>
      <c r="M113" s="8"/>
      <c r="N113" s="8"/>
    </row>
    <row r="114" spans="11:14" ht="15.75" customHeight="1" x14ac:dyDescent="0.3">
      <c r="K114" s="8"/>
      <c r="L114" s="8"/>
      <c r="M114" s="8"/>
      <c r="N114" s="8"/>
    </row>
    <row r="115" spans="11:14" ht="15.75" customHeight="1" x14ac:dyDescent="0.3">
      <c r="K115" s="8"/>
      <c r="L115" s="8"/>
      <c r="M115" s="8"/>
      <c r="N115" s="8"/>
    </row>
    <row r="116" spans="11:14" ht="15.75" customHeight="1" x14ac:dyDescent="0.3">
      <c r="K116" s="8"/>
      <c r="L116" s="8"/>
      <c r="M116" s="8"/>
      <c r="N116" s="8"/>
    </row>
    <row r="117" spans="11:14" ht="15.75" customHeight="1" x14ac:dyDescent="0.3">
      <c r="K117" s="8"/>
      <c r="L117" s="8"/>
      <c r="M117" s="8"/>
      <c r="N117" s="8"/>
    </row>
    <row r="118" spans="11:14" ht="15.75" customHeight="1" x14ac:dyDescent="0.3">
      <c r="K118" s="8"/>
      <c r="L118" s="8"/>
      <c r="M118" s="8"/>
      <c r="N118" s="8"/>
    </row>
    <row r="119" spans="11:14" ht="15.75" customHeight="1" x14ac:dyDescent="0.3">
      <c r="K119" s="8"/>
      <c r="L119" s="8"/>
      <c r="M119" s="8"/>
      <c r="N119" s="8"/>
    </row>
    <row r="120" spans="11:14" ht="15.75" customHeight="1" x14ac:dyDescent="0.3">
      <c r="K120" s="8"/>
      <c r="L120" s="8"/>
      <c r="M120" s="8"/>
      <c r="N120" s="8"/>
    </row>
    <row r="121" spans="11:14" ht="15.75" customHeight="1" x14ac:dyDescent="0.3">
      <c r="K121" s="8"/>
      <c r="L121" s="8"/>
      <c r="M121" s="8"/>
      <c r="N121" s="8"/>
    </row>
    <row r="122" spans="11:14" ht="15.75" customHeight="1" x14ac:dyDescent="0.3">
      <c r="K122" s="8"/>
      <c r="L122" s="8"/>
      <c r="M122" s="8"/>
      <c r="N122" s="8"/>
    </row>
    <row r="123" spans="11:14" ht="15.75" customHeight="1" x14ac:dyDescent="0.3">
      <c r="K123" s="8"/>
      <c r="L123" s="8"/>
      <c r="M123" s="8"/>
      <c r="N123" s="8"/>
    </row>
    <row r="124" spans="11:14" ht="15.75" customHeight="1" x14ac:dyDescent="0.3">
      <c r="K124" s="8"/>
      <c r="L124" s="8"/>
      <c r="M124" s="8"/>
      <c r="N124" s="8"/>
    </row>
    <row r="125" spans="11:14" ht="15.75" customHeight="1" x14ac:dyDescent="0.3">
      <c r="K125" s="8"/>
      <c r="L125" s="8"/>
      <c r="M125" s="8"/>
      <c r="N125" s="8"/>
    </row>
    <row r="126" spans="11:14" ht="15.75" customHeight="1" x14ac:dyDescent="0.3">
      <c r="K126" s="8"/>
      <c r="L126" s="8"/>
      <c r="M126" s="8"/>
      <c r="N126" s="8"/>
    </row>
    <row r="127" spans="11:14" ht="15.75" customHeight="1" x14ac:dyDescent="0.3">
      <c r="K127" s="8"/>
      <c r="L127" s="8"/>
      <c r="M127" s="8"/>
      <c r="N127" s="8"/>
    </row>
    <row r="128" spans="11:14" ht="15.75" customHeight="1" x14ac:dyDescent="0.3">
      <c r="K128" s="8"/>
      <c r="L128" s="8"/>
      <c r="M128" s="8"/>
      <c r="N128" s="8"/>
    </row>
    <row r="129" spans="11:14" ht="15.75" customHeight="1" x14ac:dyDescent="0.3">
      <c r="K129" s="8"/>
      <c r="L129" s="8"/>
      <c r="M129" s="8"/>
      <c r="N129" s="8"/>
    </row>
    <row r="130" spans="11:14" ht="15.75" customHeight="1" x14ac:dyDescent="0.3">
      <c r="K130" s="8"/>
      <c r="L130" s="8"/>
      <c r="M130" s="8"/>
      <c r="N130" s="8"/>
    </row>
    <row r="131" spans="11:14" ht="15.75" customHeight="1" x14ac:dyDescent="0.3">
      <c r="K131" s="8"/>
      <c r="L131" s="8"/>
      <c r="M131" s="8"/>
      <c r="N131" s="8"/>
    </row>
    <row r="132" spans="11:14" ht="15.75" customHeight="1" x14ac:dyDescent="0.3">
      <c r="K132" s="8"/>
      <c r="L132" s="8"/>
      <c r="M132" s="8"/>
      <c r="N132" s="8"/>
    </row>
    <row r="133" spans="11:14" ht="15.75" customHeight="1" x14ac:dyDescent="0.3">
      <c r="K133" s="8"/>
      <c r="L133" s="8"/>
      <c r="M133" s="8"/>
      <c r="N133" s="8"/>
    </row>
    <row r="134" spans="11:14" ht="15.75" customHeight="1" x14ac:dyDescent="0.3">
      <c r="K134" s="8"/>
      <c r="L134" s="8"/>
      <c r="M134" s="8"/>
      <c r="N134" s="8"/>
    </row>
    <row r="135" spans="11:14" ht="15.75" customHeight="1" x14ac:dyDescent="0.3">
      <c r="K135" s="8"/>
      <c r="L135" s="8"/>
      <c r="M135" s="8"/>
      <c r="N135" s="8"/>
    </row>
    <row r="136" spans="11:14" ht="15.75" customHeight="1" x14ac:dyDescent="0.3">
      <c r="K136" s="8"/>
      <c r="L136" s="8"/>
      <c r="M136" s="8"/>
      <c r="N136" s="8"/>
    </row>
    <row r="137" spans="11:14" ht="15.75" customHeight="1" x14ac:dyDescent="0.3">
      <c r="K137" s="8"/>
      <c r="L137" s="8"/>
      <c r="M137" s="8"/>
      <c r="N137" s="8"/>
    </row>
    <row r="138" spans="11:14" ht="15.75" customHeight="1" x14ac:dyDescent="0.3">
      <c r="K138" s="8"/>
      <c r="L138" s="8"/>
      <c r="M138" s="8"/>
      <c r="N138" s="8"/>
    </row>
    <row r="139" spans="11:14" ht="15.75" customHeight="1" x14ac:dyDescent="0.3">
      <c r="K139" s="8"/>
      <c r="L139" s="8"/>
      <c r="M139" s="8"/>
      <c r="N139" s="8"/>
    </row>
    <row r="140" spans="11:14" ht="15.75" customHeight="1" x14ac:dyDescent="0.3">
      <c r="K140" s="8"/>
      <c r="L140" s="8"/>
      <c r="M140" s="8"/>
      <c r="N140" s="8"/>
    </row>
    <row r="141" spans="11:14" ht="15.75" customHeight="1" x14ac:dyDescent="0.3">
      <c r="K141" s="8"/>
      <c r="L141" s="8"/>
      <c r="M141" s="8"/>
      <c r="N141" s="8"/>
    </row>
    <row r="142" spans="11:14" ht="15.75" customHeight="1" x14ac:dyDescent="0.3">
      <c r="K142" s="8"/>
      <c r="L142" s="8"/>
      <c r="M142" s="8"/>
      <c r="N142" s="8"/>
    </row>
    <row r="143" spans="11:14" ht="15.75" customHeight="1" x14ac:dyDescent="0.3">
      <c r="K143" s="8"/>
      <c r="L143" s="8"/>
      <c r="M143" s="8"/>
      <c r="N143" s="8"/>
    </row>
    <row r="144" spans="11:14" ht="15.75" customHeight="1" x14ac:dyDescent="0.3">
      <c r="K144" s="8"/>
      <c r="L144" s="8"/>
      <c r="M144" s="8"/>
      <c r="N144" s="8"/>
    </row>
    <row r="145" spans="11:14" ht="15.75" customHeight="1" x14ac:dyDescent="0.3">
      <c r="K145" s="8"/>
      <c r="L145" s="8"/>
      <c r="M145" s="8"/>
      <c r="N145" s="8"/>
    </row>
    <row r="146" spans="11:14" ht="15.75" customHeight="1" x14ac:dyDescent="0.3">
      <c r="K146" s="8"/>
      <c r="L146" s="8"/>
      <c r="M146" s="8"/>
      <c r="N146" s="8"/>
    </row>
    <row r="147" spans="11:14" ht="15.75" customHeight="1" x14ac:dyDescent="0.3">
      <c r="K147" s="8"/>
      <c r="L147" s="8"/>
      <c r="M147" s="8"/>
      <c r="N147" s="8"/>
    </row>
    <row r="148" spans="11:14" ht="15.75" customHeight="1" x14ac:dyDescent="0.3">
      <c r="K148" s="8"/>
      <c r="L148" s="8"/>
      <c r="M148" s="8"/>
      <c r="N148" s="8"/>
    </row>
    <row r="149" spans="11:14" ht="15.75" customHeight="1" x14ac:dyDescent="0.3">
      <c r="K149" s="8"/>
      <c r="L149" s="8"/>
      <c r="M149" s="8"/>
      <c r="N149" s="8"/>
    </row>
    <row r="150" spans="11:14" ht="15.75" customHeight="1" x14ac:dyDescent="0.3">
      <c r="K150" s="8"/>
      <c r="L150" s="8"/>
      <c r="M150" s="8"/>
      <c r="N150" s="8"/>
    </row>
    <row r="151" spans="11:14" ht="15.75" customHeight="1" x14ac:dyDescent="0.3">
      <c r="K151" s="8"/>
      <c r="L151" s="8"/>
      <c r="M151" s="8"/>
      <c r="N151" s="8"/>
    </row>
    <row r="152" spans="11:14" ht="15.75" customHeight="1" x14ac:dyDescent="0.3">
      <c r="K152" s="8"/>
      <c r="L152" s="8"/>
      <c r="M152" s="8"/>
      <c r="N152" s="8"/>
    </row>
    <row r="153" spans="11:14" ht="15.75" customHeight="1" x14ac:dyDescent="0.3">
      <c r="K153" s="8"/>
      <c r="L153" s="8"/>
      <c r="M153" s="8"/>
      <c r="N153" s="8"/>
    </row>
    <row r="154" spans="11:14" ht="15.75" customHeight="1" x14ac:dyDescent="0.3">
      <c r="K154" s="8"/>
      <c r="L154" s="8"/>
      <c r="M154" s="8"/>
      <c r="N154" s="8"/>
    </row>
    <row r="155" spans="11:14" ht="15.75" customHeight="1" x14ac:dyDescent="0.3">
      <c r="K155" s="8"/>
      <c r="L155" s="8"/>
      <c r="M155" s="8"/>
      <c r="N155" s="8"/>
    </row>
    <row r="156" spans="11:14" ht="15.75" customHeight="1" x14ac:dyDescent="0.3">
      <c r="K156" s="8"/>
      <c r="L156" s="8"/>
      <c r="M156" s="8"/>
      <c r="N156" s="8"/>
    </row>
    <row r="157" spans="11:14" ht="15.75" customHeight="1" x14ac:dyDescent="0.3">
      <c r="K157" s="8"/>
      <c r="L157" s="8"/>
      <c r="M157" s="8"/>
      <c r="N157" s="8"/>
    </row>
    <row r="158" spans="11:14" ht="15.75" customHeight="1" x14ac:dyDescent="0.3">
      <c r="K158" s="8"/>
      <c r="L158" s="8"/>
      <c r="M158" s="8"/>
      <c r="N158" s="8"/>
    </row>
    <row r="159" spans="11:14" ht="15.75" customHeight="1" x14ac:dyDescent="0.3">
      <c r="K159" s="8"/>
      <c r="L159" s="8"/>
      <c r="M159" s="8"/>
      <c r="N159" s="8"/>
    </row>
    <row r="160" spans="11:14" ht="15.75" customHeight="1" x14ac:dyDescent="0.3">
      <c r="K160" s="8"/>
      <c r="L160" s="8"/>
      <c r="M160" s="8"/>
      <c r="N160" s="8"/>
    </row>
    <row r="161" spans="11:14" ht="15.75" customHeight="1" x14ac:dyDescent="0.3">
      <c r="K161" s="8"/>
      <c r="L161" s="8"/>
      <c r="M161" s="8"/>
      <c r="N161" s="8"/>
    </row>
    <row r="162" spans="11:14" ht="15.75" customHeight="1" x14ac:dyDescent="0.3">
      <c r="K162" s="8"/>
      <c r="L162" s="8"/>
      <c r="M162" s="8"/>
      <c r="N162" s="8"/>
    </row>
    <row r="163" spans="11:14" ht="15.75" customHeight="1" x14ac:dyDescent="0.3">
      <c r="K163" s="8"/>
      <c r="L163" s="8"/>
      <c r="M163" s="8"/>
      <c r="N163" s="8"/>
    </row>
    <row r="164" spans="11:14" ht="15.75" customHeight="1" x14ac:dyDescent="0.3">
      <c r="K164" s="8"/>
      <c r="L164" s="8"/>
      <c r="M164" s="8"/>
      <c r="N164" s="8"/>
    </row>
    <row r="165" spans="11:14" ht="15.75" customHeight="1" x14ac:dyDescent="0.3">
      <c r="K165" s="8"/>
      <c r="L165" s="8"/>
      <c r="M165" s="8"/>
      <c r="N165" s="8"/>
    </row>
    <row r="166" spans="11:14" ht="15.75" customHeight="1" x14ac:dyDescent="0.3">
      <c r="K166" s="8"/>
      <c r="L166" s="8"/>
      <c r="M166" s="8"/>
      <c r="N166" s="8"/>
    </row>
    <row r="167" spans="11:14" ht="15.75" customHeight="1" x14ac:dyDescent="0.3">
      <c r="K167" s="8"/>
      <c r="L167" s="8"/>
      <c r="M167" s="8"/>
      <c r="N167" s="8"/>
    </row>
    <row r="168" spans="11:14" ht="15.75" customHeight="1" x14ac:dyDescent="0.3">
      <c r="K168" s="8"/>
      <c r="L168" s="8"/>
      <c r="M168" s="8"/>
      <c r="N168" s="8"/>
    </row>
    <row r="169" spans="11:14" ht="15.75" customHeight="1" x14ac:dyDescent="0.3">
      <c r="K169" s="8"/>
      <c r="L169" s="8"/>
      <c r="M169" s="8"/>
      <c r="N169" s="8"/>
    </row>
    <row r="170" spans="11:14" ht="15.75" customHeight="1" x14ac:dyDescent="0.3">
      <c r="K170" s="8"/>
      <c r="L170" s="8"/>
      <c r="M170" s="8"/>
      <c r="N170" s="8"/>
    </row>
    <row r="171" spans="11:14" ht="15.75" customHeight="1" x14ac:dyDescent="0.3">
      <c r="K171" s="8"/>
      <c r="L171" s="8"/>
      <c r="M171" s="8"/>
      <c r="N171" s="8"/>
    </row>
    <row r="172" spans="11:14" ht="15.75" customHeight="1" x14ac:dyDescent="0.3">
      <c r="K172" s="8"/>
      <c r="L172" s="8"/>
      <c r="M172" s="8"/>
      <c r="N172" s="8"/>
    </row>
    <row r="173" spans="11:14" ht="15.75" customHeight="1" x14ac:dyDescent="0.3">
      <c r="K173" s="8"/>
      <c r="L173" s="8"/>
      <c r="M173" s="8"/>
      <c r="N173" s="8"/>
    </row>
    <row r="174" spans="11:14" ht="15.75" customHeight="1" x14ac:dyDescent="0.3">
      <c r="K174" s="8"/>
      <c r="L174" s="8"/>
      <c r="M174" s="8"/>
      <c r="N174" s="8"/>
    </row>
    <row r="175" spans="11:14" ht="15.75" customHeight="1" x14ac:dyDescent="0.3">
      <c r="K175" s="8"/>
      <c r="L175" s="8"/>
      <c r="M175" s="8"/>
      <c r="N175" s="8"/>
    </row>
    <row r="176" spans="11:14" ht="15.75" customHeight="1" x14ac:dyDescent="0.3">
      <c r="K176" s="8"/>
      <c r="L176" s="8"/>
      <c r="M176" s="8"/>
      <c r="N176" s="8"/>
    </row>
    <row r="177" spans="11:14" ht="15.75" customHeight="1" x14ac:dyDescent="0.3">
      <c r="K177" s="8"/>
      <c r="L177" s="8"/>
      <c r="M177" s="8"/>
      <c r="N177" s="8"/>
    </row>
    <row r="178" spans="11:14" ht="15.75" customHeight="1" x14ac:dyDescent="0.3">
      <c r="K178" s="8"/>
      <c r="L178" s="8"/>
      <c r="M178" s="8"/>
      <c r="N178" s="8"/>
    </row>
    <row r="179" spans="11:14" ht="15.75" customHeight="1" x14ac:dyDescent="0.3">
      <c r="K179" s="8"/>
      <c r="L179" s="8"/>
      <c r="M179" s="8"/>
      <c r="N179" s="8"/>
    </row>
    <row r="180" spans="11:14" ht="15.75" customHeight="1" x14ac:dyDescent="0.3">
      <c r="K180" s="8"/>
      <c r="L180" s="8"/>
      <c r="M180" s="8"/>
      <c r="N180" s="8"/>
    </row>
    <row r="181" spans="11:14" ht="15.75" customHeight="1" x14ac:dyDescent="0.3">
      <c r="K181" s="8"/>
      <c r="L181" s="8"/>
      <c r="M181" s="8"/>
      <c r="N181" s="8"/>
    </row>
    <row r="182" spans="11:14" ht="15.75" customHeight="1" x14ac:dyDescent="0.3">
      <c r="K182" s="8"/>
      <c r="L182" s="8"/>
      <c r="M182" s="8"/>
      <c r="N182" s="8"/>
    </row>
    <row r="183" spans="11:14" ht="15.75" customHeight="1" x14ac:dyDescent="0.3">
      <c r="K183" s="8"/>
      <c r="L183" s="8"/>
      <c r="M183" s="8"/>
      <c r="N183" s="8"/>
    </row>
    <row r="184" spans="11:14" ht="15.75" customHeight="1" x14ac:dyDescent="0.3">
      <c r="K184" s="8"/>
      <c r="L184" s="8"/>
      <c r="M184" s="8"/>
      <c r="N184" s="8"/>
    </row>
    <row r="185" spans="11:14" ht="15.75" customHeight="1" x14ac:dyDescent="0.3">
      <c r="K185" s="8"/>
      <c r="L185" s="8"/>
      <c r="M185" s="8"/>
      <c r="N185" s="8"/>
    </row>
    <row r="186" spans="11:14" ht="15.75" customHeight="1" x14ac:dyDescent="0.3">
      <c r="K186" s="8"/>
      <c r="L186" s="8"/>
      <c r="M186" s="8"/>
      <c r="N186" s="8"/>
    </row>
    <row r="187" spans="11:14" ht="15.75" customHeight="1" x14ac:dyDescent="0.3">
      <c r="K187" s="8"/>
      <c r="L187" s="8"/>
      <c r="M187" s="8"/>
      <c r="N187" s="8"/>
    </row>
    <row r="188" spans="11:14" ht="15.75" customHeight="1" x14ac:dyDescent="0.3">
      <c r="K188" s="8"/>
      <c r="L188" s="8"/>
      <c r="M188" s="8"/>
      <c r="N188" s="8"/>
    </row>
    <row r="189" spans="11:14" ht="15.75" customHeight="1" x14ac:dyDescent="0.3">
      <c r="K189" s="8"/>
      <c r="L189" s="8"/>
      <c r="M189" s="8"/>
      <c r="N189" s="8"/>
    </row>
    <row r="190" spans="11:14" ht="15.75" customHeight="1" x14ac:dyDescent="0.3">
      <c r="K190" s="8"/>
      <c r="L190" s="8"/>
      <c r="M190" s="8"/>
      <c r="N190" s="8"/>
    </row>
    <row r="191" spans="11:14" ht="15.75" customHeight="1" x14ac:dyDescent="0.3">
      <c r="K191" s="8"/>
      <c r="L191" s="8"/>
      <c r="M191" s="8"/>
      <c r="N191" s="8"/>
    </row>
    <row r="192" spans="11:14" ht="15.75" customHeight="1" x14ac:dyDescent="0.3">
      <c r="K192" s="8"/>
      <c r="L192" s="8"/>
      <c r="M192" s="8"/>
      <c r="N192" s="8"/>
    </row>
    <row r="193" spans="11:14" ht="15.75" customHeight="1" x14ac:dyDescent="0.3">
      <c r="K193" s="8"/>
      <c r="L193" s="8"/>
      <c r="M193" s="8"/>
      <c r="N193" s="8"/>
    </row>
    <row r="194" spans="11:14" ht="15.75" customHeight="1" x14ac:dyDescent="0.3">
      <c r="K194" s="8"/>
      <c r="L194" s="8"/>
      <c r="M194" s="8"/>
      <c r="N194" s="8"/>
    </row>
    <row r="195" spans="11:14" ht="15.75" customHeight="1" x14ac:dyDescent="0.3">
      <c r="K195" s="8"/>
      <c r="L195" s="8"/>
      <c r="M195" s="8"/>
      <c r="N195" s="8"/>
    </row>
    <row r="196" spans="11:14" ht="15.75" customHeight="1" x14ac:dyDescent="0.3">
      <c r="K196" s="8"/>
      <c r="L196" s="8"/>
      <c r="M196" s="8"/>
      <c r="N196" s="8"/>
    </row>
    <row r="197" spans="11:14" ht="15.75" customHeight="1" x14ac:dyDescent="0.3">
      <c r="K197" s="8"/>
      <c r="L197" s="8"/>
      <c r="M197" s="8"/>
      <c r="N197" s="8"/>
    </row>
    <row r="198" spans="11:14" ht="15.75" customHeight="1" x14ac:dyDescent="0.3">
      <c r="K198" s="8"/>
      <c r="L198" s="8"/>
      <c r="M198" s="8"/>
      <c r="N198" s="8"/>
    </row>
    <row r="199" spans="11:14" ht="15.75" customHeight="1" x14ac:dyDescent="0.3">
      <c r="K199" s="8"/>
      <c r="L199" s="8"/>
      <c r="M199" s="8"/>
      <c r="N199" s="8"/>
    </row>
    <row r="200" spans="11:14" ht="15.75" customHeight="1" x14ac:dyDescent="0.3">
      <c r="K200" s="8"/>
      <c r="L200" s="8"/>
      <c r="M200" s="8"/>
      <c r="N200" s="8"/>
    </row>
    <row r="201" spans="11:14" ht="15.75" customHeight="1" x14ac:dyDescent="0.3">
      <c r="K201" s="8"/>
      <c r="L201" s="8"/>
      <c r="M201" s="8"/>
      <c r="N201" s="8"/>
    </row>
    <row r="202" spans="11:14" ht="15.75" customHeight="1" x14ac:dyDescent="0.3">
      <c r="K202" s="8"/>
      <c r="L202" s="8"/>
      <c r="M202" s="8"/>
      <c r="N202" s="8"/>
    </row>
    <row r="203" spans="11:14" ht="15.75" customHeight="1" x14ac:dyDescent="0.3">
      <c r="K203" s="8"/>
      <c r="L203" s="8"/>
      <c r="M203" s="8"/>
      <c r="N203" s="8"/>
    </row>
    <row r="204" spans="11:14" ht="15.75" customHeight="1" x14ac:dyDescent="0.3">
      <c r="K204" s="8"/>
      <c r="L204" s="8"/>
      <c r="M204" s="8"/>
      <c r="N204" s="8"/>
    </row>
    <row r="205" spans="11:14" ht="15.75" customHeight="1" x14ac:dyDescent="0.3">
      <c r="K205" s="8"/>
      <c r="L205" s="8"/>
      <c r="M205" s="8"/>
      <c r="N205" s="8"/>
    </row>
    <row r="206" spans="11:14" ht="15.75" customHeight="1" x14ac:dyDescent="0.3">
      <c r="K206" s="8"/>
      <c r="L206" s="8"/>
      <c r="M206" s="8"/>
      <c r="N206" s="8"/>
    </row>
    <row r="207" spans="11:14" ht="15.75" customHeight="1" x14ac:dyDescent="0.3">
      <c r="K207" s="8"/>
      <c r="L207" s="8"/>
      <c r="M207" s="8"/>
      <c r="N207" s="8"/>
    </row>
    <row r="208" spans="11:14" ht="15.75" customHeight="1" x14ac:dyDescent="0.3">
      <c r="K208" s="8"/>
      <c r="L208" s="8"/>
      <c r="M208" s="8"/>
      <c r="N208" s="8"/>
    </row>
    <row r="209" spans="11:14" ht="15.75" customHeight="1" x14ac:dyDescent="0.3">
      <c r="K209" s="8"/>
      <c r="L209" s="8"/>
      <c r="M209" s="8"/>
      <c r="N209" s="8"/>
    </row>
    <row r="210" spans="11:14" ht="15.75" customHeight="1" x14ac:dyDescent="0.3">
      <c r="K210" s="8"/>
      <c r="L210" s="8"/>
      <c r="M210" s="8"/>
      <c r="N210" s="8"/>
    </row>
    <row r="211" spans="11:14" ht="15.75" customHeight="1" x14ac:dyDescent="0.3">
      <c r="K211" s="8"/>
      <c r="L211" s="8"/>
      <c r="M211" s="8"/>
      <c r="N211" s="8"/>
    </row>
    <row r="212" spans="11:14" ht="15.75" customHeight="1" x14ac:dyDescent="0.3">
      <c r="K212" s="8"/>
      <c r="L212" s="8"/>
      <c r="M212" s="8"/>
      <c r="N212" s="8"/>
    </row>
    <row r="213" spans="11:14" ht="15.75" customHeight="1" x14ac:dyDescent="0.3">
      <c r="K213" s="8"/>
      <c r="L213" s="8"/>
      <c r="M213" s="8"/>
      <c r="N213" s="8"/>
    </row>
    <row r="214" spans="11:14" ht="15.75" customHeight="1" x14ac:dyDescent="0.3">
      <c r="K214" s="8"/>
      <c r="L214" s="8"/>
      <c r="M214" s="8"/>
      <c r="N214" s="8"/>
    </row>
    <row r="215" spans="11:14" ht="15.75" customHeight="1" x14ac:dyDescent="0.3">
      <c r="K215" s="8"/>
      <c r="L215" s="8"/>
      <c r="M215" s="8"/>
      <c r="N215" s="8"/>
    </row>
    <row r="216" spans="11:14" ht="15.75" customHeight="1" x14ac:dyDescent="0.3">
      <c r="K216" s="8"/>
      <c r="L216" s="8"/>
      <c r="M216" s="8"/>
      <c r="N216" s="8"/>
    </row>
    <row r="217" spans="11:14" ht="15.75" customHeight="1" x14ac:dyDescent="0.3">
      <c r="K217" s="8"/>
      <c r="L217" s="8"/>
      <c r="M217" s="8"/>
      <c r="N217" s="8"/>
    </row>
    <row r="218" spans="11:14" ht="15.75" customHeight="1" x14ac:dyDescent="0.3">
      <c r="K218" s="8"/>
      <c r="L218" s="8"/>
      <c r="M218" s="8"/>
      <c r="N218" s="8"/>
    </row>
    <row r="219" spans="11:14" ht="15.75" customHeight="1" x14ac:dyDescent="0.3">
      <c r="K219" s="8"/>
      <c r="L219" s="8"/>
      <c r="M219" s="8"/>
      <c r="N219" s="8"/>
    </row>
    <row r="220" spans="11:14" ht="15.75" customHeight="1" x14ac:dyDescent="0.3">
      <c r="K220" s="8"/>
      <c r="L220" s="8"/>
      <c r="M220" s="8"/>
      <c r="N220" s="8"/>
    </row>
    <row r="221" spans="11:14" ht="15.75" customHeight="1" x14ac:dyDescent="0.3">
      <c r="K221" s="8"/>
      <c r="L221" s="8"/>
      <c r="M221" s="8"/>
      <c r="N221" s="8"/>
    </row>
    <row r="222" spans="11:14" ht="15.75" customHeight="1" x14ac:dyDescent="0.3">
      <c r="K222" s="8"/>
      <c r="L222" s="8"/>
      <c r="M222" s="8"/>
      <c r="N222" s="8"/>
    </row>
    <row r="223" spans="11:14" ht="15.75" customHeight="1" x14ac:dyDescent="0.3">
      <c r="K223" s="8"/>
      <c r="L223" s="8"/>
      <c r="M223" s="8"/>
      <c r="N223" s="8"/>
    </row>
    <row r="224" spans="11:14" ht="15.75" customHeight="1" x14ac:dyDescent="0.3">
      <c r="K224" s="8"/>
      <c r="L224" s="8"/>
      <c r="M224" s="8"/>
      <c r="N224" s="8"/>
    </row>
    <row r="225" spans="11:14" ht="15.75" customHeight="1" x14ac:dyDescent="0.3">
      <c r="K225" s="8"/>
      <c r="L225" s="8"/>
      <c r="M225" s="8"/>
      <c r="N225" s="8"/>
    </row>
    <row r="226" spans="11:14" ht="15.75" customHeight="1" x14ac:dyDescent="0.3">
      <c r="K226" s="8"/>
      <c r="L226" s="8"/>
      <c r="M226" s="8"/>
      <c r="N226" s="8"/>
    </row>
    <row r="227" spans="11:14" ht="15.75" customHeight="1" x14ac:dyDescent="0.3">
      <c r="K227" s="8"/>
      <c r="L227" s="8"/>
      <c r="M227" s="8"/>
      <c r="N227" s="8"/>
    </row>
    <row r="228" spans="11:14" ht="15.75" customHeight="1" x14ac:dyDescent="0.3">
      <c r="K228" s="8"/>
      <c r="L228" s="8"/>
      <c r="M228" s="8"/>
      <c r="N228" s="8"/>
    </row>
    <row r="229" spans="11:14" ht="15.75" customHeight="1" x14ac:dyDescent="0.3">
      <c r="K229" s="8"/>
      <c r="L229" s="8"/>
      <c r="M229" s="8"/>
      <c r="N229" s="8"/>
    </row>
    <row r="230" spans="11:14" ht="15.75" customHeight="1" x14ac:dyDescent="0.3">
      <c r="K230" s="8"/>
      <c r="L230" s="8"/>
      <c r="M230" s="8"/>
      <c r="N230" s="8"/>
    </row>
    <row r="231" spans="11:14" ht="15.75" customHeight="1" x14ac:dyDescent="0.3">
      <c r="K231" s="8"/>
      <c r="L231" s="8"/>
      <c r="M231" s="8"/>
      <c r="N231" s="8"/>
    </row>
    <row r="232" spans="11:14" ht="15.75" customHeight="1" x14ac:dyDescent="0.3">
      <c r="K232" s="8"/>
      <c r="L232" s="8"/>
      <c r="M232" s="8"/>
      <c r="N232" s="8"/>
    </row>
    <row r="233" spans="11:14" ht="15.75" customHeight="1" x14ac:dyDescent="0.3">
      <c r="K233" s="8"/>
      <c r="L233" s="8"/>
      <c r="M233" s="8"/>
      <c r="N233" s="8"/>
    </row>
    <row r="234" spans="11:14" ht="15.75" customHeight="1" x14ac:dyDescent="0.3">
      <c r="K234" s="8"/>
      <c r="L234" s="8"/>
      <c r="M234" s="8"/>
      <c r="N234" s="8"/>
    </row>
    <row r="235" spans="11:14" ht="15.75" customHeight="1" x14ac:dyDescent="0.3">
      <c r="K235" s="8"/>
      <c r="L235" s="8"/>
      <c r="M235" s="8"/>
      <c r="N235" s="8"/>
    </row>
    <row r="236" spans="11:14" ht="15.75" customHeight="1" x14ac:dyDescent="0.3">
      <c r="K236" s="8"/>
      <c r="L236" s="8"/>
      <c r="M236" s="8"/>
      <c r="N236" s="8"/>
    </row>
    <row r="237" spans="11:14" ht="15.75" customHeight="1" x14ac:dyDescent="0.3">
      <c r="K237" s="8"/>
      <c r="L237" s="8"/>
      <c r="M237" s="8"/>
      <c r="N237" s="8"/>
    </row>
    <row r="238" spans="11:14" ht="15.75" customHeight="1" x14ac:dyDescent="0.3">
      <c r="K238" s="8"/>
      <c r="L238" s="8"/>
      <c r="M238" s="8"/>
      <c r="N238" s="8"/>
    </row>
    <row r="239" spans="11:14" ht="15.75" customHeight="1" x14ac:dyDescent="0.3">
      <c r="K239" s="8"/>
      <c r="L239" s="8"/>
      <c r="M239" s="8"/>
      <c r="N239" s="8"/>
    </row>
    <row r="240" spans="11:14" ht="15.75" customHeight="1" x14ac:dyDescent="0.3">
      <c r="K240" s="8"/>
      <c r="L240" s="8"/>
      <c r="M240" s="8"/>
      <c r="N240" s="8"/>
    </row>
    <row r="241" spans="11:14" ht="15.75" customHeight="1" x14ac:dyDescent="0.3">
      <c r="K241" s="8"/>
      <c r="L241" s="8"/>
      <c r="M241" s="8"/>
      <c r="N241" s="8"/>
    </row>
    <row r="242" spans="11:14" ht="15.75" customHeight="1" x14ac:dyDescent="0.3">
      <c r="K242" s="8"/>
      <c r="L242" s="8"/>
      <c r="M242" s="8"/>
      <c r="N242" s="8"/>
    </row>
    <row r="243" spans="11:14" ht="15.75" customHeight="1" x14ac:dyDescent="0.3">
      <c r="K243" s="8"/>
      <c r="L243" s="8"/>
      <c r="M243" s="8"/>
      <c r="N243" s="8"/>
    </row>
    <row r="244" spans="11:14" ht="15.75" customHeight="1" x14ac:dyDescent="0.3">
      <c r="K244" s="8"/>
      <c r="L244" s="8"/>
      <c r="M244" s="8"/>
      <c r="N244" s="8"/>
    </row>
    <row r="245" spans="11:14" ht="15.75" customHeight="1" x14ac:dyDescent="0.3">
      <c r="K245" s="8"/>
      <c r="L245" s="8"/>
      <c r="M245" s="8"/>
      <c r="N245" s="8"/>
    </row>
    <row r="246" spans="11:14" ht="15.75" customHeight="1" x14ac:dyDescent="0.3">
      <c r="K246" s="8"/>
      <c r="L246" s="8"/>
      <c r="M246" s="8"/>
      <c r="N246" s="8"/>
    </row>
    <row r="247" spans="11:14" ht="15.75" customHeight="1" x14ac:dyDescent="0.3">
      <c r="K247" s="8"/>
      <c r="L247" s="8"/>
      <c r="M247" s="8"/>
      <c r="N247" s="8"/>
    </row>
    <row r="248" spans="11:14" ht="15.75" customHeight="1" x14ac:dyDescent="0.3">
      <c r="K248" s="8"/>
      <c r="L248" s="8"/>
      <c r="M248" s="8"/>
      <c r="N248" s="8"/>
    </row>
    <row r="249" spans="11:14" ht="15.75" customHeight="1" x14ac:dyDescent="0.3">
      <c r="K249" s="8"/>
      <c r="L249" s="8"/>
      <c r="M249" s="8"/>
      <c r="N249" s="8"/>
    </row>
    <row r="250" spans="11:14" ht="15.75" customHeight="1" x14ac:dyDescent="0.3">
      <c r="K250" s="8"/>
      <c r="L250" s="8"/>
      <c r="M250" s="8"/>
      <c r="N250" s="8"/>
    </row>
    <row r="251" spans="11:14" ht="15.75" customHeight="1" x14ac:dyDescent="0.3">
      <c r="K251" s="8"/>
      <c r="L251" s="8"/>
      <c r="M251" s="8"/>
      <c r="N251" s="8"/>
    </row>
    <row r="252" spans="11:14" ht="15.75" customHeight="1" x14ac:dyDescent="0.3">
      <c r="K252" s="8"/>
      <c r="L252" s="8"/>
      <c r="M252" s="8"/>
      <c r="N252" s="8"/>
    </row>
    <row r="253" spans="11:14" ht="15.75" customHeight="1" x14ac:dyDescent="0.3">
      <c r="K253" s="8"/>
      <c r="L253" s="8"/>
      <c r="M253" s="8"/>
      <c r="N253" s="8"/>
    </row>
    <row r="254" spans="11:14" ht="15.75" customHeight="1" x14ac:dyDescent="0.3">
      <c r="K254" s="8"/>
      <c r="L254" s="8"/>
      <c r="M254" s="8"/>
      <c r="N254" s="8"/>
    </row>
    <row r="255" spans="11:14" ht="15.75" customHeight="1" x14ac:dyDescent="0.3">
      <c r="K255" s="8"/>
      <c r="L255" s="8"/>
      <c r="M255" s="8"/>
      <c r="N255" s="8"/>
    </row>
    <row r="256" spans="11:14" ht="15.75" customHeight="1" x14ac:dyDescent="0.3">
      <c r="K256" s="8"/>
      <c r="L256" s="8"/>
      <c r="M256" s="8"/>
      <c r="N256" s="8"/>
    </row>
    <row r="257" spans="11:14" ht="15.75" customHeight="1" x14ac:dyDescent="0.3">
      <c r="K257" s="8"/>
      <c r="L257" s="8"/>
      <c r="M257" s="8"/>
      <c r="N257" s="8"/>
    </row>
    <row r="258" spans="11:14" ht="15.75" customHeight="1" x14ac:dyDescent="0.3">
      <c r="K258" s="8"/>
      <c r="L258" s="8"/>
      <c r="M258" s="8"/>
      <c r="N258" s="8"/>
    </row>
    <row r="259" spans="11:14" ht="15.75" customHeight="1" x14ac:dyDescent="0.3">
      <c r="K259" s="8"/>
      <c r="L259" s="8"/>
      <c r="M259" s="8"/>
      <c r="N259" s="8"/>
    </row>
    <row r="260" spans="11:14" ht="15.75" customHeight="1" x14ac:dyDescent="0.3">
      <c r="K260" s="8"/>
      <c r="L260" s="8"/>
      <c r="M260" s="8"/>
      <c r="N260" s="8"/>
    </row>
    <row r="261" spans="11:14" ht="15.75" customHeight="1" x14ac:dyDescent="0.3">
      <c r="K261" s="8"/>
      <c r="L261" s="8"/>
      <c r="M261" s="8"/>
      <c r="N261" s="8"/>
    </row>
    <row r="262" spans="11:14" ht="15.75" customHeight="1" x14ac:dyDescent="0.3">
      <c r="K262" s="8"/>
      <c r="L262" s="8"/>
      <c r="M262" s="8"/>
      <c r="N262" s="8"/>
    </row>
    <row r="263" spans="11:14" ht="15.75" customHeight="1" x14ac:dyDescent="0.3">
      <c r="K263" s="8"/>
      <c r="L263" s="8"/>
      <c r="M263" s="8"/>
      <c r="N263" s="8"/>
    </row>
    <row r="264" spans="11:14" ht="15.75" customHeight="1" x14ac:dyDescent="0.3">
      <c r="K264" s="8"/>
      <c r="L264" s="8"/>
      <c r="M264" s="8"/>
      <c r="N264" s="8"/>
    </row>
    <row r="265" spans="11:14" ht="15.75" customHeight="1" x14ac:dyDescent="0.3">
      <c r="K265" s="8"/>
      <c r="L265" s="8"/>
      <c r="M265" s="8"/>
      <c r="N265" s="8"/>
    </row>
    <row r="266" spans="11:14" ht="15.75" customHeight="1" x14ac:dyDescent="0.3">
      <c r="K266" s="8"/>
      <c r="L266" s="8"/>
      <c r="M266" s="8"/>
      <c r="N266" s="8"/>
    </row>
    <row r="267" spans="11:14" ht="15.75" customHeight="1" x14ac:dyDescent="0.3">
      <c r="K267" s="8"/>
      <c r="L267" s="8"/>
      <c r="M267" s="8"/>
      <c r="N267" s="8"/>
    </row>
    <row r="268" spans="11:14" ht="15.75" customHeight="1" x14ac:dyDescent="0.3">
      <c r="K268" s="8"/>
      <c r="L268" s="8"/>
      <c r="M268" s="8"/>
      <c r="N268" s="8"/>
    </row>
    <row r="269" spans="11:14" ht="15.75" customHeight="1" x14ac:dyDescent="0.3">
      <c r="K269" s="8"/>
      <c r="L269" s="8"/>
      <c r="M269" s="8"/>
      <c r="N269" s="8"/>
    </row>
    <row r="270" spans="11:14" ht="15.75" customHeight="1" x14ac:dyDescent="0.3">
      <c r="K270" s="8"/>
      <c r="L270" s="8"/>
      <c r="M270" s="8"/>
      <c r="N270" s="8"/>
    </row>
    <row r="271" spans="11:14" ht="15.75" customHeight="1" x14ac:dyDescent="0.3">
      <c r="K271" s="8"/>
      <c r="L271" s="8"/>
      <c r="M271" s="8"/>
      <c r="N271" s="8"/>
    </row>
    <row r="272" spans="11:14" ht="15.75" customHeight="1" x14ac:dyDescent="0.3">
      <c r="K272" s="8"/>
      <c r="L272" s="8"/>
      <c r="M272" s="8"/>
      <c r="N272" s="8"/>
    </row>
    <row r="273" spans="11:14" ht="15.75" customHeight="1" x14ac:dyDescent="0.3">
      <c r="K273" s="8"/>
      <c r="L273" s="8"/>
      <c r="M273" s="8"/>
      <c r="N273" s="8"/>
    </row>
    <row r="274" spans="11:14" ht="15.75" customHeight="1" x14ac:dyDescent="0.3">
      <c r="K274" s="8"/>
      <c r="L274" s="8"/>
      <c r="M274" s="8"/>
      <c r="N274" s="8"/>
    </row>
    <row r="275" spans="11:14" ht="15.75" customHeight="1" x14ac:dyDescent="0.3">
      <c r="K275" s="8"/>
      <c r="L275" s="8"/>
      <c r="M275" s="8"/>
      <c r="N275" s="8"/>
    </row>
    <row r="276" spans="11:14" ht="15.75" customHeight="1" x14ac:dyDescent="0.3">
      <c r="K276" s="8"/>
      <c r="L276" s="8"/>
      <c r="M276" s="8"/>
      <c r="N276" s="8"/>
    </row>
    <row r="277" spans="11:14" ht="15.75" customHeight="1" x14ac:dyDescent="0.3">
      <c r="K277" s="8"/>
      <c r="L277" s="8"/>
      <c r="M277" s="8"/>
      <c r="N277" s="8"/>
    </row>
    <row r="278" spans="11:14" ht="15.75" customHeight="1" x14ac:dyDescent="0.3">
      <c r="K278" s="8"/>
      <c r="L278" s="8"/>
      <c r="M278" s="8"/>
      <c r="N278" s="8"/>
    </row>
    <row r="279" spans="11:14" ht="15.75" customHeight="1" x14ac:dyDescent="0.3">
      <c r="K279" s="8"/>
      <c r="L279" s="8"/>
      <c r="M279" s="8"/>
      <c r="N279" s="8"/>
    </row>
    <row r="280" spans="11:14" ht="15.75" customHeight="1" x14ac:dyDescent="0.3">
      <c r="K280" s="8"/>
      <c r="L280" s="8"/>
      <c r="M280" s="8"/>
      <c r="N280" s="8"/>
    </row>
    <row r="281" spans="11:14" ht="15.75" customHeight="1" x14ac:dyDescent="0.3">
      <c r="K281" s="8"/>
      <c r="L281" s="8"/>
      <c r="M281" s="8"/>
      <c r="N281" s="8"/>
    </row>
    <row r="282" spans="11:14" ht="15.75" customHeight="1" x14ac:dyDescent="0.3">
      <c r="K282" s="8"/>
      <c r="L282" s="8"/>
      <c r="M282" s="8"/>
      <c r="N282" s="8"/>
    </row>
    <row r="283" spans="11:14" ht="15.75" customHeight="1" x14ac:dyDescent="0.3">
      <c r="K283" s="8"/>
      <c r="L283" s="8"/>
      <c r="M283" s="8"/>
      <c r="N283" s="8"/>
    </row>
    <row r="284" spans="11:14" ht="15.75" customHeight="1" x14ac:dyDescent="0.3">
      <c r="K284" s="8"/>
      <c r="L284" s="8"/>
      <c r="M284" s="8"/>
      <c r="N284" s="8"/>
    </row>
    <row r="285" spans="11:14" ht="15.75" customHeight="1" x14ac:dyDescent="0.3">
      <c r="K285" s="8"/>
      <c r="L285" s="8"/>
      <c r="M285" s="8"/>
      <c r="N285" s="8"/>
    </row>
    <row r="286" spans="11:14" ht="15.75" customHeight="1" x14ac:dyDescent="0.3">
      <c r="K286" s="8"/>
      <c r="L286" s="8"/>
      <c r="M286" s="8"/>
      <c r="N286" s="8"/>
    </row>
    <row r="287" spans="11:14" ht="15.75" customHeight="1" x14ac:dyDescent="0.3">
      <c r="K287" s="8"/>
      <c r="L287" s="8"/>
      <c r="M287" s="8"/>
      <c r="N287" s="8"/>
    </row>
    <row r="288" spans="11:14" ht="15.75" customHeight="1" x14ac:dyDescent="0.3">
      <c r="K288" s="8"/>
      <c r="L288" s="8"/>
      <c r="M288" s="8"/>
      <c r="N288" s="8"/>
    </row>
    <row r="289" spans="11:14" ht="15.75" customHeight="1" x14ac:dyDescent="0.3">
      <c r="K289" s="8"/>
      <c r="L289" s="8"/>
      <c r="M289" s="8"/>
      <c r="N289" s="8"/>
    </row>
    <row r="290" spans="11:14" ht="15.75" customHeight="1" x14ac:dyDescent="0.3">
      <c r="K290" s="8"/>
      <c r="L290" s="8"/>
      <c r="M290" s="8"/>
      <c r="N290" s="8"/>
    </row>
    <row r="291" spans="11:14" ht="15.75" customHeight="1" x14ac:dyDescent="0.3">
      <c r="K291" s="8"/>
      <c r="L291" s="8"/>
      <c r="M291" s="8"/>
      <c r="N291" s="8"/>
    </row>
    <row r="292" spans="11:14" ht="15.75" customHeight="1" x14ac:dyDescent="0.3">
      <c r="K292" s="8"/>
      <c r="L292" s="8"/>
      <c r="M292" s="8"/>
      <c r="N292" s="8"/>
    </row>
    <row r="293" spans="11:14" ht="15.75" customHeight="1" x14ac:dyDescent="0.3">
      <c r="K293" s="8"/>
      <c r="L293" s="8"/>
      <c r="M293" s="8"/>
      <c r="N293" s="8"/>
    </row>
    <row r="294" spans="11:14" ht="15.75" customHeight="1" x14ac:dyDescent="0.3">
      <c r="K294" s="8"/>
      <c r="L294" s="8"/>
      <c r="M294" s="8"/>
      <c r="N294" s="8"/>
    </row>
    <row r="295" spans="11:14" ht="15.75" customHeight="1" x14ac:dyDescent="0.3">
      <c r="K295" s="8"/>
      <c r="L295" s="8"/>
      <c r="M295" s="8"/>
      <c r="N295" s="8"/>
    </row>
    <row r="296" spans="11:14" ht="15.75" customHeight="1" x14ac:dyDescent="0.3">
      <c r="K296" s="8"/>
      <c r="L296" s="8"/>
      <c r="M296" s="8"/>
      <c r="N296" s="8"/>
    </row>
    <row r="297" spans="11:14" ht="15.75" customHeight="1" x14ac:dyDescent="0.3">
      <c r="K297" s="8"/>
      <c r="L297" s="8"/>
      <c r="M297" s="8"/>
      <c r="N297" s="8"/>
    </row>
    <row r="298" spans="11:14" ht="15.75" customHeight="1" x14ac:dyDescent="0.3">
      <c r="K298" s="8"/>
      <c r="L298" s="8"/>
      <c r="M298" s="8"/>
      <c r="N298" s="8"/>
    </row>
    <row r="299" spans="11:14" ht="15.75" customHeight="1" x14ac:dyDescent="0.3">
      <c r="K299" s="8"/>
      <c r="L299" s="8"/>
      <c r="M299" s="8"/>
      <c r="N299" s="8"/>
    </row>
    <row r="300" spans="11:14" ht="15.75" customHeight="1" x14ac:dyDescent="0.3">
      <c r="K300" s="8"/>
      <c r="L300" s="8"/>
      <c r="M300" s="8"/>
      <c r="N300" s="8"/>
    </row>
    <row r="301" spans="11:14" ht="15.75" customHeight="1" x14ac:dyDescent="0.3">
      <c r="K301" s="8"/>
      <c r="L301" s="8"/>
      <c r="M301" s="8"/>
      <c r="N301" s="8"/>
    </row>
    <row r="302" spans="11:14" ht="15.75" customHeight="1" x14ac:dyDescent="0.3">
      <c r="K302" s="8"/>
      <c r="L302" s="8"/>
      <c r="M302" s="8"/>
      <c r="N302" s="8"/>
    </row>
    <row r="303" spans="11:14" ht="15.75" customHeight="1" x14ac:dyDescent="0.3">
      <c r="K303" s="8"/>
      <c r="L303" s="8"/>
      <c r="M303" s="8"/>
      <c r="N303" s="8"/>
    </row>
    <row r="304" spans="11:14" ht="15.75" customHeight="1" x14ac:dyDescent="0.3">
      <c r="K304" s="8"/>
      <c r="L304" s="8"/>
      <c r="M304" s="8"/>
      <c r="N304" s="8"/>
    </row>
    <row r="305" spans="11:14" ht="15.75" customHeight="1" x14ac:dyDescent="0.3">
      <c r="K305" s="8"/>
      <c r="L305" s="8"/>
      <c r="M305" s="8"/>
      <c r="N305" s="8"/>
    </row>
    <row r="306" spans="11:14" ht="15.75" customHeight="1" x14ac:dyDescent="0.3">
      <c r="K306" s="8"/>
      <c r="L306" s="8"/>
      <c r="M306" s="8"/>
      <c r="N306" s="8"/>
    </row>
    <row r="307" spans="11:14" ht="15.75" customHeight="1" x14ac:dyDescent="0.3">
      <c r="K307" s="8"/>
      <c r="L307" s="8"/>
      <c r="M307" s="8"/>
      <c r="N307" s="8"/>
    </row>
    <row r="308" spans="11:14" ht="15.75" customHeight="1" x14ac:dyDescent="0.3">
      <c r="K308" s="8"/>
      <c r="L308" s="8"/>
      <c r="M308" s="8"/>
      <c r="N308" s="8"/>
    </row>
    <row r="309" spans="11:14" ht="15.75" customHeight="1" x14ac:dyDescent="0.3">
      <c r="K309" s="8"/>
      <c r="L309" s="8"/>
      <c r="M309" s="8"/>
      <c r="N309" s="8"/>
    </row>
    <row r="310" spans="11:14" ht="15.75" customHeight="1" x14ac:dyDescent="0.3">
      <c r="K310" s="8"/>
      <c r="L310" s="8"/>
      <c r="M310" s="8"/>
      <c r="N310" s="8"/>
    </row>
    <row r="311" spans="11:14" ht="15.75" customHeight="1" x14ac:dyDescent="0.3">
      <c r="K311" s="8"/>
      <c r="L311" s="8"/>
      <c r="M311" s="8"/>
      <c r="N311" s="8"/>
    </row>
    <row r="312" spans="11:14" ht="15.75" customHeight="1" x14ac:dyDescent="0.3">
      <c r="K312" s="8"/>
      <c r="L312" s="8"/>
      <c r="M312" s="8"/>
      <c r="N312" s="8"/>
    </row>
    <row r="313" spans="11:14" ht="15.75" customHeight="1" x14ac:dyDescent="0.3">
      <c r="K313" s="8"/>
      <c r="L313" s="8"/>
      <c r="M313" s="8"/>
      <c r="N313" s="8"/>
    </row>
    <row r="314" spans="11:14" ht="15.75" customHeight="1" x14ac:dyDescent="0.3">
      <c r="K314" s="8"/>
      <c r="L314" s="8"/>
      <c r="M314" s="8"/>
      <c r="N314" s="8"/>
    </row>
    <row r="315" spans="11:14" ht="15.75" customHeight="1" x14ac:dyDescent="0.3">
      <c r="K315" s="8"/>
      <c r="L315" s="8"/>
      <c r="M315" s="8"/>
      <c r="N315" s="8"/>
    </row>
    <row r="316" spans="11:14" ht="15.75" customHeight="1" x14ac:dyDescent="0.3">
      <c r="K316" s="8"/>
      <c r="L316" s="8"/>
      <c r="M316" s="8"/>
      <c r="N316" s="8"/>
    </row>
    <row r="317" spans="11:14" ht="15.75" customHeight="1" x14ac:dyDescent="0.3">
      <c r="K317" s="8"/>
      <c r="L317" s="8"/>
      <c r="M317" s="8"/>
      <c r="N317" s="8"/>
    </row>
    <row r="318" spans="11:14" ht="15.75" customHeight="1" x14ac:dyDescent="0.3">
      <c r="K318" s="8"/>
      <c r="L318" s="8"/>
      <c r="M318" s="8"/>
      <c r="N318" s="8"/>
    </row>
    <row r="319" spans="11:14" ht="15.75" customHeight="1" x14ac:dyDescent="0.3">
      <c r="K319" s="8"/>
      <c r="L319" s="8"/>
      <c r="M319" s="8"/>
      <c r="N319" s="8"/>
    </row>
    <row r="320" spans="11:14" ht="15.75" customHeight="1" x14ac:dyDescent="0.3">
      <c r="K320" s="8"/>
      <c r="L320" s="8"/>
      <c r="M320" s="8"/>
      <c r="N320" s="8"/>
    </row>
    <row r="321" spans="11:14" ht="15.75" customHeight="1" x14ac:dyDescent="0.3">
      <c r="K321" s="8"/>
      <c r="L321" s="8"/>
      <c r="M321" s="8"/>
      <c r="N321" s="8"/>
    </row>
    <row r="322" spans="11:14" ht="15.75" customHeight="1" x14ac:dyDescent="0.3">
      <c r="K322" s="8"/>
      <c r="L322" s="8"/>
      <c r="M322" s="8"/>
      <c r="N322" s="8"/>
    </row>
    <row r="323" spans="11:14" ht="15.75" customHeight="1" x14ac:dyDescent="0.3">
      <c r="K323" s="8"/>
      <c r="L323" s="8"/>
      <c r="M323" s="8"/>
      <c r="N323" s="8"/>
    </row>
    <row r="324" spans="11:14" ht="15.75" customHeight="1" x14ac:dyDescent="0.3">
      <c r="K324" s="8"/>
      <c r="L324" s="8"/>
      <c r="M324" s="8"/>
      <c r="N324" s="8"/>
    </row>
    <row r="325" spans="11:14" ht="15.75" customHeight="1" x14ac:dyDescent="0.3">
      <c r="K325" s="8"/>
      <c r="L325" s="8"/>
      <c r="M325" s="8"/>
      <c r="N325" s="8"/>
    </row>
    <row r="326" spans="11:14" ht="15.75" customHeight="1" x14ac:dyDescent="0.3">
      <c r="K326" s="8"/>
      <c r="L326" s="8"/>
      <c r="M326" s="8"/>
      <c r="N326" s="8"/>
    </row>
    <row r="327" spans="11:14" ht="15.75" customHeight="1" x14ac:dyDescent="0.3">
      <c r="K327" s="8"/>
      <c r="L327" s="8"/>
      <c r="M327" s="8"/>
      <c r="N327" s="8"/>
    </row>
    <row r="328" spans="11:14" ht="15.75" customHeight="1" x14ac:dyDescent="0.3">
      <c r="K328" s="8"/>
      <c r="L328" s="8"/>
      <c r="M328" s="8"/>
      <c r="N328" s="8"/>
    </row>
    <row r="329" spans="11:14" ht="15.75" customHeight="1" x14ac:dyDescent="0.3">
      <c r="K329" s="8"/>
      <c r="L329" s="8"/>
      <c r="M329" s="8"/>
      <c r="N329" s="8"/>
    </row>
    <row r="330" spans="11:14" ht="15.75" customHeight="1" x14ac:dyDescent="0.3">
      <c r="K330" s="8"/>
      <c r="L330" s="8"/>
      <c r="M330" s="8"/>
      <c r="N330" s="8"/>
    </row>
    <row r="331" spans="11:14" ht="15.75" customHeight="1" x14ac:dyDescent="0.3">
      <c r="K331" s="8"/>
      <c r="L331" s="8"/>
      <c r="M331" s="8"/>
      <c r="N331" s="8"/>
    </row>
    <row r="332" spans="11:14" ht="15.75" customHeight="1" x14ac:dyDescent="0.3">
      <c r="K332" s="8"/>
      <c r="L332" s="8"/>
      <c r="M332" s="8"/>
      <c r="N332" s="8"/>
    </row>
    <row r="333" spans="11:14" ht="15.75" customHeight="1" x14ac:dyDescent="0.3">
      <c r="K333" s="8"/>
      <c r="L333" s="8"/>
      <c r="M333" s="8"/>
      <c r="N333" s="8"/>
    </row>
    <row r="334" spans="11:14" ht="15.75" customHeight="1" x14ac:dyDescent="0.3">
      <c r="K334" s="8"/>
      <c r="L334" s="8"/>
      <c r="M334" s="8"/>
      <c r="N334" s="8"/>
    </row>
    <row r="335" spans="11:14" ht="15.75" customHeight="1" x14ac:dyDescent="0.3">
      <c r="K335" s="8"/>
      <c r="L335" s="8"/>
      <c r="M335" s="8"/>
      <c r="N335" s="8"/>
    </row>
    <row r="336" spans="11:14" ht="15.75" customHeight="1" x14ac:dyDescent="0.3">
      <c r="K336" s="8"/>
      <c r="L336" s="8"/>
      <c r="M336" s="8"/>
      <c r="N336" s="8"/>
    </row>
    <row r="337" spans="11:14" ht="15.75" customHeight="1" x14ac:dyDescent="0.3">
      <c r="K337" s="8"/>
      <c r="L337" s="8"/>
      <c r="M337" s="8"/>
      <c r="N337" s="8"/>
    </row>
    <row r="338" spans="11:14" ht="15.75" customHeight="1" x14ac:dyDescent="0.3">
      <c r="K338" s="8"/>
      <c r="L338" s="8"/>
      <c r="M338" s="8"/>
      <c r="N338" s="8"/>
    </row>
    <row r="339" spans="11:14" ht="15.75" customHeight="1" x14ac:dyDescent="0.3">
      <c r="K339" s="8"/>
      <c r="L339" s="8"/>
      <c r="M339" s="8"/>
      <c r="N339" s="8"/>
    </row>
    <row r="340" spans="11:14" ht="15.75" customHeight="1" x14ac:dyDescent="0.3">
      <c r="K340" s="8"/>
      <c r="L340" s="8"/>
      <c r="M340" s="8"/>
      <c r="N340" s="8"/>
    </row>
    <row r="341" spans="11:14" ht="15.75" customHeight="1" x14ac:dyDescent="0.3">
      <c r="K341" s="8"/>
      <c r="L341" s="8"/>
      <c r="M341" s="8"/>
      <c r="N341" s="8"/>
    </row>
    <row r="342" spans="11:14" ht="15.75" customHeight="1" x14ac:dyDescent="0.3">
      <c r="K342" s="8"/>
      <c r="L342" s="8"/>
      <c r="M342" s="8"/>
      <c r="N342" s="8"/>
    </row>
    <row r="343" spans="11:14" ht="15.75" customHeight="1" x14ac:dyDescent="0.3">
      <c r="K343" s="8"/>
      <c r="L343" s="8"/>
      <c r="M343" s="8"/>
      <c r="N343" s="8"/>
    </row>
    <row r="344" spans="11:14" ht="15.75" customHeight="1" x14ac:dyDescent="0.3">
      <c r="K344" s="8"/>
      <c r="L344" s="8"/>
      <c r="M344" s="8"/>
      <c r="N344" s="8"/>
    </row>
    <row r="345" spans="11:14" ht="15.75" customHeight="1" x14ac:dyDescent="0.3">
      <c r="K345" s="8"/>
      <c r="L345" s="8"/>
      <c r="M345" s="8"/>
      <c r="N345" s="8"/>
    </row>
    <row r="346" spans="11:14" ht="15.75" customHeight="1" x14ac:dyDescent="0.3">
      <c r="K346" s="8"/>
      <c r="L346" s="8"/>
      <c r="M346" s="8"/>
      <c r="N346" s="8"/>
    </row>
    <row r="347" spans="11:14" ht="15.75" customHeight="1" x14ac:dyDescent="0.3">
      <c r="K347" s="8"/>
      <c r="L347" s="8"/>
      <c r="M347" s="8"/>
      <c r="N347" s="8"/>
    </row>
    <row r="348" spans="11:14" ht="15.75" customHeight="1" x14ac:dyDescent="0.3">
      <c r="K348" s="8"/>
      <c r="L348" s="8"/>
      <c r="M348" s="8"/>
      <c r="N348" s="8"/>
    </row>
    <row r="349" spans="11:14" ht="15.75" customHeight="1" x14ac:dyDescent="0.3">
      <c r="K349" s="8"/>
      <c r="L349" s="8"/>
      <c r="M349" s="8"/>
      <c r="N349" s="8"/>
    </row>
    <row r="350" spans="11:14" ht="15.75" customHeight="1" x14ac:dyDescent="0.3">
      <c r="K350" s="8"/>
      <c r="L350" s="8"/>
      <c r="M350" s="8"/>
      <c r="N350" s="8"/>
    </row>
    <row r="351" spans="11:14" ht="15.75" customHeight="1" x14ac:dyDescent="0.3">
      <c r="K351" s="8"/>
      <c r="L351" s="8"/>
      <c r="M351" s="8"/>
      <c r="N351" s="8"/>
    </row>
    <row r="352" spans="11:14" ht="15.75" customHeight="1" x14ac:dyDescent="0.3">
      <c r="K352" s="8"/>
      <c r="L352" s="8"/>
      <c r="M352" s="8"/>
      <c r="N352" s="8"/>
    </row>
    <row r="353" spans="11:14" ht="15.75" customHeight="1" x14ac:dyDescent="0.3">
      <c r="K353" s="8"/>
      <c r="L353" s="8"/>
      <c r="M353" s="8"/>
      <c r="N353" s="8"/>
    </row>
    <row r="354" spans="11:14" ht="15.75" customHeight="1" x14ac:dyDescent="0.3">
      <c r="K354" s="8"/>
      <c r="L354" s="8"/>
      <c r="M354" s="8"/>
      <c r="N354" s="8"/>
    </row>
    <row r="355" spans="11:14" ht="15.75" customHeight="1" x14ac:dyDescent="0.3">
      <c r="K355" s="8"/>
      <c r="L355" s="8"/>
      <c r="M355" s="8"/>
      <c r="N355" s="8"/>
    </row>
    <row r="356" spans="11:14" ht="15.75" customHeight="1" x14ac:dyDescent="0.3">
      <c r="K356" s="8"/>
      <c r="L356" s="8"/>
      <c r="M356" s="8"/>
      <c r="N356" s="8"/>
    </row>
    <row r="357" spans="11:14" ht="15.75" customHeight="1" x14ac:dyDescent="0.3">
      <c r="K357" s="8"/>
      <c r="L357" s="8"/>
      <c r="M357" s="8"/>
      <c r="N357" s="8"/>
    </row>
    <row r="358" spans="11:14" ht="15.75" customHeight="1" x14ac:dyDescent="0.3">
      <c r="K358" s="8"/>
      <c r="L358" s="8"/>
      <c r="M358" s="8"/>
      <c r="N358" s="8"/>
    </row>
    <row r="359" spans="11:14" ht="15.75" customHeight="1" x14ac:dyDescent="0.3">
      <c r="K359" s="8"/>
      <c r="L359" s="8"/>
      <c r="M359" s="8"/>
      <c r="N359" s="8"/>
    </row>
    <row r="360" spans="11:14" ht="15.75" customHeight="1" x14ac:dyDescent="0.3">
      <c r="K360" s="8"/>
      <c r="L360" s="8"/>
      <c r="M360" s="8"/>
      <c r="N360" s="8"/>
    </row>
    <row r="361" spans="11:14" ht="15.75" customHeight="1" x14ac:dyDescent="0.3">
      <c r="K361" s="8"/>
      <c r="L361" s="8"/>
      <c r="M361" s="8"/>
      <c r="N361" s="8"/>
    </row>
    <row r="362" spans="11:14" ht="15.75" customHeight="1" x14ac:dyDescent="0.3">
      <c r="K362" s="8"/>
      <c r="L362" s="8"/>
      <c r="M362" s="8"/>
      <c r="N362" s="8"/>
    </row>
    <row r="363" spans="11:14" ht="15.75" customHeight="1" x14ac:dyDescent="0.3">
      <c r="K363" s="8"/>
      <c r="L363" s="8"/>
      <c r="M363" s="8"/>
      <c r="N363" s="8"/>
    </row>
    <row r="364" spans="11:14" ht="15.75" customHeight="1" x14ac:dyDescent="0.3">
      <c r="K364" s="8"/>
      <c r="L364" s="8"/>
      <c r="M364" s="8"/>
      <c r="N364" s="8"/>
    </row>
    <row r="365" spans="11:14" ht="15.75" customHeight="1" x14ac:dyDescent="0.3">
      <c r="K365" s="8"/>
      <c r="L365" s="8"/>
      <c r="M365" s="8"/>
      <c r="N365" s="8"/>
    </row>
    <row r="366" spans="11:14" ht="15.75" customHeight="1" x14ac:dyDescent="0.3">
      <c r="K366" s="8"/>
      <c r="L366" s="8"/>
      <c r="M366" s="8"/>
      <c r="N366" s="8"/>
    </row>
    <row r="367" spans="11:14" ht="15.75" customHeight="1" x14ac:dyDescent="0.3">
      <c r="K367" s="8"/>
      <c r="L367" s="8"/>
      <c r="M367" s="8"/>
      <c r="N367" s="8"/>
    </row>
    <row r="368" spans="11:14" ht="15.75" customHeight="1" x14ac:dyDescent="0.3">
      <c r="K368" s="8"/>
      <c r="L368" s="8"/>
      <c r="M368" s="8"/>
      <c r="N368" s="8"/>
    </row>
    <row r="369" spans="11:14" ht="15.75" customHeight="1" x14ac:dyDescent="0.3">
      <c r="K369" s="8"/>
      <c r="L369" s="8"/>
      <c r="M369" s="8"/>
      <c r="N369" s="8"/>
    </row>
    <row r="370" spans="11:14" ht="15.75" customHeight="1" x14ac:dyDescent="0.3">
      <c r="K370" s="8"/>
      <c r="L370" s="8"/>
      <c r="M370" s="8"/>
      <c r="N370" s="8"/>
    </row>
    <row r="371" spans="11:14" ht="15.75" customHeight="1" x14ac:dyDescent="0.3">
      <c r="K371" s="8"/>
      <c r="L371" s="8"/>
      <c r="M371" s="8"/>
      <c r="N371" s="8"/>
    </row>
    <row r="372" spans="11:14" ht="15.75" customHeight="1" x14ac:dyDescent="0.3">
      <c r="K372" s="8"/>
      <c r="L372" s="8"/>
      <c r="M372" s="8"/>
      <c r="N372" s="8"/>
    </row>
    <row r="373" spans="11:14" ht="15.75" customHeight="1" x14ac:dyDescent="0.3">
      <c r="K373" s="8"/>
      <c r="L373" s="8"/>
      <c r="M373" s="8"/>
      <c r="N373" s="8"/>
    </row>
    <row r="374" spans="11:14" ht="15.75" customHeight="1" x14ac:dyDescent="0.3">
      <c r="K374" s="8"/>
      <c r="L374" s="8"/>
      <c r="M374" s="8"/>
      <c r="N374" s="8"/>
    </row>
    <row r="375" spans="11:14" ht="15.75" customHeight="1" x14ac:dyDescent="0.3">
      <c r="K375" s="8"/>
      <c r="L375" s="8"/>
      <c r="M375" s="8"/>
      <c r="N375" s="8"/>
    </row>
    <row r="376" spans="11:14" ht="15.75" customHeight="1" x14ac:dyDescent="0.3">
      <c r="K376" s="8"/>
      <c r="L376" s="8"/>
      <c r="M376" s="8"/>
      <c r="N376" s="8"/>
    </row>
    <row r="377" spans="11:14" ht="15.75" customHeight="1" x14ac:dyDescent="0.3">
      <c r="K377" s="8"/>
      <c r="L377" s="8"/>
      <c r="M377" s="8"/>
      <c r="N377" s="8"/>
    </row>
    <row r="378" spans="11:14" ht="15.75" customHeight="1" x14ac:dyDescent="0.3">
      <c r="K378" s="8"/>
      <c r="L378" s="8"/>
      <c r="M378" s="8"/>
      <c r="N378" s="8"/>
    </row>
    <row r="379" spans="11:14" ht="15.75" customHeight="1" x14ac:dyDescent="0.3">
      <c r="K379" s="8"/>
      <c r="L379" s="8"/>
      <c r="M379" s="8"/>
      <c r="N379" s="8"/>
    </row>
    <row r="380" spans="11:14" ht="15.75" customHeight="1" x14ac:dyDescent="0.3">
      <c r="K380" s="8"/>
      <c r="L380" s="8"/>
      <c r="M380" s="8"/>
      <c r="N380" s="8"/>
    </row>
    <row r="381" spans="11:14" ht="15.75" customHeight="1" x14ac:dyDescent="0.3">
      <c r="K381" s="8"/>
      <c r="L381" s="8"/>
      <c r="M381" s="8"/>
      <c r="N381" s="8"/>
    </row>
    <row r="382" spans="11:14" ht="15.75" customHeight="1" x14ac:dyDescent="0.3">
      <c r="K382" s="8"/>
      <c r="L382" s="8"/>
      <c r="M382" s="8"/>
      <c r="N382" s="8"/>
    </row>
    <row r="383" spans="11:14" ht="15.75" customHeight="1" x14ac:dyDescent="0.3">
      <c r="K383" s="8"/>
      <c r="L383" s="8"/>
      <c r="M383" s="8"/>
      <c r="N383" s="8"/>
    </row>
    <row r="384" spans="11:14" ht="15.75" customHeight="1" x14ac:dyDescent="0.3">
      <c r="K384" s="8"/>
      <c r="L384" s="8"/>
      <c r="M384" s="8"/>
      <c r="N384" s="8"/>
    </row>
    <row r="385" spans="11:14" ht="15.75" customHeight="1" x14ac:dyDescent="0.3">
      <c r="K385" s="8"/>
      <c r="L385" s="8"/>
      <c r="M385" s="8"/>
      <c r="N385" s="8"/>
    </row>
    <row r="386" spans="11:14" ht="15.75" customHeight="1" x14ac:dyDescent="0.3">
      <c r="K386" s="8"/>
      <c r="L386" s="8"/>
      <c r="M386" s="8"/>
      <c r="N386" s="8"/>
    </row>
    <row r="387" spans="11:14" ht="15.75" customHeight="1" x14ac:dyDescent="0.3">
      <c r="K387" s="8"/>
      <c r="L387" s="8"/>
      <c r="M387" s="8"/>
      <c r="N387" s="8"/>
    </row>
    <row r="388" spans="11:14" ht="15.75" customHeight="1" x14ac:dyDescent="0.3">
      <c r="K388" s="8"/>
      <c r="L388" s="8"/>
      <c r="M388" s="8"/>
      <c r="N388" s="8"/>
    </row>
    <row r="389" spans="11:14" ht="15.75" customHeight="1" x14ac:dyDescent="0.3">
      <c r="K389" s="8"/>
      <c r="L389" s="8"/>
      <c r="M389" s="8"/>
      <c r="N389" s="8"/>
    </row>
    <row r="390" spans="11:14" ht="15.75" customHeight="1" x14ac:dyDescent="0.3">
      <c r="K390" s="8"/>
      <c r="L390" s="8"/>
      <c r="M390" s="8"/>
      <c r="N390" s="8"/>
    </row>
    <row r="391" spans="11:14" ht="15.75" customHeight="1" x14ac:dyDescent="0.3">
      <c r="K391" s="8"/>
      <c r="L391" s="8"/>
      <c r="M391" s="8"/>
      <c r="N391" s="8"/>
    </row>
    <row r="392" spans="11:14" ht="15.75" customHeight="1" x14ac:dyDescent="0.3">
      <c r="K392" s="8"/>
      <c r="L392" s="8"/>
      <c r="M392" s="8"/>
      <c r="N392" s="8"/>
    </row>
    <row r="393" spans="11:14" ht="15.75" customHeight="1" x14ac:dyDescent="0.3">
      <c r="K393" s="8"/>
      <c r="L393" s="8"/>
      <c r="M393" s="8"/>
      <c r="N393" s="8"/>
    </row>
    <row r="394" spans="11:14" ht="15.75" customHeight="1" x14ac:dyDescent="0.3">
      <c r="K394" s="8"/>
      <c r="L394" s="8"/>
      <c r="M394" s="8"/>
      <c r="N394" s="8"/>
    </row>
    <row r="395" spans="11:14" ht="15.75" customHeight="1" x14ac:dyDescent="0.3">
      <c r="K395" s="8"/>
      <c r="L395" s="8"/>
      <c r="M395" s="8"/>
      <c r="N395" s="8"/>
    </row>
    <row r="396" spans="11:14" ht="15.75" customHeight="1" x14ac:dyDescent="0.3">
      <c r="K396" s="8"/>
      <c r="L396" s="8"/>
      <c r="M396" s="8"/>
      <c r="N396" s="8"/>
    </row>
    <row r="397" spans="11:14" ht="15.75" customHeight="1" x14ac:dyDescent="0.3">
      <c r="K397" s="8"/>
      <c r="L397" s="8"/>
      <c r="M397" s="8"/>
      <c r="N397" s="8"/>
    </row>
    <row r="398" spans="11:14" ht="15.75" customHeight="1" x14ac:dyDescent="0.3">
      <c r="K398" s="8"/>
      <c r="L398" s="8"/>
      <c r="M398" s="8"/>
      <c r="N398" s="8"/>
    </row>
    <row r="399" spans="11:14" ht="15.75" customHeight="1" x14ac:dyDescent="0.3">
      <c r="K399" s="8"/>
      <c r="L399" s="8"/>
      <c r="M399" s="8"/>
      <c r="N399" s="8"/>
    </row>
    <row r="400" spans="11:14" ht="15.75" customHeight="1" x14ac:dyDescent="0.3">
      <c r="K400" s="8"/>
      <c r="L400" s="8"/>
      <c r="M400" s="8"/>
      <c r="N400" s="8"/>
    </row>
    <row r="401" spans="11:14" ht="15.75" customHeight="1" x14ac:dyDescent="0.3">
      <c r="K401" s="8"/>
      <c r="L401" s="8"/>
      <c r="M401" s="8"/>
      <c r="N401" s="8"/>
    </row>
    <row r="402" spans="11:14" ht="15.75" customHeight="1" x14ac:dyDescent="0.3">
      <c r="K402" s="8"/>
      <c r="L402" s="8"/>
      <c r="M402" s="8"/>
      <c r="N402" s="8"/>
    </row>
    <row r="403" spans="11:14" ht="15.75" customHeight="1" x14ac:dyDescent="0.3">
      <c r="K403" s="8"/>
      <c r="L403" s="8"/>
      <c r="M403" s="8"/>
      <c r="N403" s="8"/>
    </row>
    <row r="404" spans="11:14" ht="15.75" customHeight="1" x14ac:dyDescent="0.3">
      <c r="K404" s="8"/>
      <c r="L404" s="8"/>
      <c r="M404" s="8"/>
      <c r="N404" s="8"/>
    </row>
    <row r="405" spans="11:14" ht="15.75" customHeight="1" x14ac:dyDescent="0.3">
      <c r="K405" s="8"/>
      <c r="L405" s="8"/>
      <c r="M405" s="8"/>
      <c r="N405" s="8"/>
    </row>
    <row r="406" spans="11:14" ht="15.75" customHeight="1" x14ac:dyDescent="0.3">
      <c r="K406" s="8"/>
      <c r="L406" s="8"/>
      <c r="M406" s="8"/>
      <c r="N406" s="8"/>
    </row>
    <row r="407" spans="11:14" ht="15.75" customHeight="1" x14ac:dyDescent="0.3">
      <c r="K407" s="8"/>
      <c r="L407" s="8"/>
      <c r="M407" s="8"/>
      <c r="N407" s="8"/>
    </row>
    <row r="408" spans="11:14" ht="15.75" customHeight="1" x14ac:dyDescent="0.3">
      <c r="K408" s="8"/>
      <c r="L408" s="8"/>
      <c r="M408" s="8"/>
      <c r="N408" s="8"/>
    </row>
    <row r="409" spans="11:14" ht="15.75" customHeight="1" x14ac:dyDescent="0.3">
      <c r="K409" s="8"/>
      <c r="L409" s="8"/>
      <c r="M409" s="8"/>
      <c r="N409" s="8"/>
    </row>
    <row r="410" spans="11:14" ht="15.75" customHeight="1" x14ac:dyDescent="0.3">
      <c r="K410" s="8"/>
      <c r="L410" s="8"/>
      <c r="M410" s="8"/>
      <c r="N410" s="8"/>
    </row>
    <row r="411" spans="11:14" ht="15.75" customHeight="1" x14ac:dyDescent="0.3">
      <c r="K411" s="8"/>
      <c r="L411" s="8"/>
      <c r="M411" s="8"/>
      <c r="N411" s="8"/>
    </row>
    <row r="412" spans="11:14" ht="15.75" customHeight="1" x14ac:dyDescent="0.3">
      <c r="K412" s="8"/>
      <c r="L412" s="8"/>
      <c r="M412" s="8"/>
      <c r="N412" s="8"/>
    </row>
    <row r="413" spans="11:14" ht="15.75" customHeight="1" x14ac:dyDescent="0.3">
      <c r="K413" s="8"/>
      <c r="L413" s="8"/>
      <c r="M413" s="8"/>
      <c r="N413" s="8"/>
    </row>
    <row r="414" spans="11:14" ht="15.75" customHeight="1" x14ac:dyDescent="0.3">
      <c r="K414" s="8"/>
      <c r="L414" s="8"/>
      <c r="M414" s="8"/>
      <c r="N414" s="8"/>
    </row>
    <row r="415" spans="11:14" ht="15.75" customHeight="1" x14ac:dyDescent="0.3">
      <c r="K415" s="8"/>
      <c r="L415" s="8"/>
      <c r="M415" s="8"/>
      <c r="N415" s="8"/>
    </row>
    <row r="416" spans="11:14" ht="15.75" customHeight="1" x14ac:dyDescent="0.3">
      <c r="K416" s="8"/>
      <c r="L416" s="8"/>
      <c r="M416" s="8"/>
      <c r="N416" s="8"/>
    </row>
    <row r="417" spans="11:14" ht="15.75" customHeight="1" x14ac:dyDescent="0.3">
      <c r="K417" s="8"/>
      <c r="L417" s="8"/>
      <c r="M417" s="8"/>
      <c r="N417" s="8"/>
    </row>
    <row r="418" spans="11:14" ht="15.75" customHeight="1" x14ac:dyDescent="0.3">
      <c r="K418" s="8"/>
      <c r="L418" s="8"/>
      <c r="M418" s="8"/>
      <c r="N418" s="8"/>
    </row>
    <row r="419" spans="11:14" ht="15.75" customHeight="1" x14ac:dyDescent="0.3">
      <c r="K419" s="8"/>
      <c r="L419" s="8"/>
      <c r="M419" s="8"/>
      <c r="N419" s="8"/>
    </row>
    <row r="420" spans="11:14" ht="15.75" customHeight="1" x14ac:dyDescent="0.3">
      <c r="K420" s="8"/>
      <c r="L420" s="8"/>
      <c r="M420" s="8"/>
      <c r="N420" s="8"/>
    </row>
    <row r="421" spans="11:14" ht="15.75" customHeight="1" x14ac:dyDescent="0.3">
      <c r="K421" s="8"/>
      <c r="L421" s="8"/>
      <c r="M421" s="8"/>
      <c r="N421" s="8"/>
    </row>
    <row r="422" spans="11:14" ht="15.75" customHeight="1" x14ac:dyDescent="0.3">
      <c r="K422" s="8"/>
      <c r="L422" s="8"/>
      <c r="M422" s="8"/>
      <c r="N422" s="8"/>
    </row>
    <row r="423" spans="11:14" ht="15.75" customHeight="1" x14ac:dyDescent="0.3">
      <c r="K423" s="8"/>
      <c r="L423" s="8"/>
      <c r="M423" s="8"/>
      <c r="N423" s="8"/>
    </row>
    <row r="424" spans="11:14" ht="15.75" customHeight="1" x14ac:dyDescent="0.3">
      <c r="K424" s="8"/>
      <c r="L424" s="8"/>
      <c r="M424" s="8"/>
      <c r="N424" s="8"/>
    </row>
    <row r="425" spans="11:14" ht="15.75" customHeight="1" x14ac:dyDescent="0.3">
      <c r="K425" s="8"/>
      <c r="L425" s="8"/>
      <c r="M425" s="8"/>
      <c r="N425" s="8"/>
    </row>
    <row r="426" spans="11:14" ht="15.75" customHeight="1" x14ac:dyDescent="0.3">
      <c r="K426" s="8"/>
      <c r="L426" s="8"/>
      <c r="M426" s="8"/>
      <c r="N426" s="8"/>
    </row>
    <row r="427" spans="11:14" ht="15.75" customHeight="1" x14ac:dyDescent="0.3">
      <c r="K427" s="8"/>
      <c r="L427" s="8"/>
      <c r="M427" s="8"/>
      <c r="N427" s="8"/>
    </row>
    <row r="428" spans="11:14" ht="15.75" customHeight="1" x14ac:dyDescent="0.3">
      <c r="K428" s="8"/>
      <c r="L428" s="8"/>
      <c r="M428" s="8"/>
      <c r="N428" s="8"/>
    </row>
    <row r="429" spans="11:14" ht="15.75" customHeight="1" x14ac:dyDescent="0.3">
      <c r="K429" s="8"/>
      <c r="L429" s="8"/>
      <c r="M429" s="8"/>
      <c r="N429" s="8"/>
    </row>
    <row r="430" spans="11:14" ht="15.75" customHeight="1" x14ac:dyDescent="0.3">
      <c r="K430" s="8"/>
      <c r="L430" s="8"/>
      <c r="M430" s="8"/>
      <c r="N430" s="8"/>
    </row>
    <row r="431" spans="11:14" ht="15.75" customHeight="1" x14ac:dyDescent="0.3">
      <c r="K431" s="8"/>
      <c r="L431" s="8"/>
      <c r="M431" s="8"/>
      <c r="N431" s="8"/>
    </row>
    <row r="432" spans="11:14" ht="15.75" customHeight="1" x14ac:dyDescent="0.3">
      <c r="K432" s="8"/>
      <c r="L432" s="8"/>
      <c r="M432" s="8"/>
      <c r="N432" s="8"/>
    </row>
    <row r="433" spans="11:14" ht="15.75" customHeight="1" x14ac:dyDescent="0.3">
      <c r="K433" s="8"/>
      <c r="L433" s="8"/>
      <c r="M433" s="8"/>
      <c r="N433" s="8"/>
    </row>
    <row r="434" spans="11:14" ht="15.75" customHeight="1" x14ac:dyDescent="0.3">
      <c r="K434" s="8"/>
      <c r="L434" s="8"/>
      <c r="M434" s="8"/>
      <c r="N434" s="8"/>
    </row>
    <row r="435" spans="11:14" ht="15.75" customHeight="1" x14ac:dyDescent="0.3">
      <c r="K435" s="8"/>
      <c r="L435" s="8"/>
      <c r="M435" s="8"/>
      <c r="N435" s="8"/>
    </row>
    <row r="436" spans="11:14" ht="15.75" customHeight="1" x14ac:dyDescent="0.3">
      <c r="K436" s="8"/>
      <c r="L436" s="8"/>
      <c r="M436" s="8"/>
      <c r="N436" s="8"/>
    </row>
    <row r="437" spans="11:14" ht="15.75" customHeight="1" x14ac:dyDescent="0.3">
      <c r="K437" s="8"/>
      <c r="L437" s="8"/>
      <c r="M437" s="8"/>
      <c r="N437" s="8"/>
    </row>
    <row r="438" spans="11:14" ht="15.75" customHeight="1" x14ac:dyDescent="0.3">
      <c r="K438" s="8"/>
      <c r="L438" s="8"/>
      <c r="M438" s="8"/>
      <c r="N438" s="8"/>
    </row>
    <row r="439" spans="11:14" ht="15.75" customHeight="1" x14ac:dyDescent="0.3">
      <c r="K439" s="8"/>
      <c r="L439" s="8"/>
      <c r="M439" s="8"/>
      <c r="N439" s="8"/>
    </row>
    <row r="440" spans="11:14" ht="15.75" customHeight="1" x14ac:dyDescent="0.3">
      <c r="K440" s="8"/>
      <c r="L440" s="8"/>
      <c r="M440" s="8"/>
      <c r="N440" s="8"/>
    </row>
    <row r="441" spans="11:14" ht="15.75" customHeight="1" x14ac:dyDescent="0.3">
      <c r="K441" s="8"/>
      <c r="L441" s="8"/>
      <c r="M441" s="8"/>
      <c r="N441" s="8"/>
    </row>
    <row r="442" spans="11:14" ht="15.75" customHeight="1" x14ac:dyDescent="0.3">
      <c r="K442" s="8"/>
      <c r="L442" s="8"/>
      <c r="M442" s="8"/>
      <c r="N442" s="8"/>
    </row>
    <row r="443" spans="11:14" ht="15.75" customHeight="1" x14ac:dyDescent="0.3">
      <c r="K443" s="8"/>
      <c r="L443" s="8"/>
      <c r="M443" s="8"/>
      <c r="N443" s="8"/>
    </row>
    <row r="444" spans="11:14" ht="15.75" customHeight="1" x14ac:dyDescent="0.3">
      <c r="K444" s="8"/>
      <c r="L444" s="8"/>
      <c r="M444" s="8"/>
      <c r="N444" s="8"/>
    </row>
    <row r="445" spans="11:14" ht="15.75" customHeight="1" x14ac:dyDescent="0.3">
      <c r="K445" s="8"/>
      <c r="L445" s="8"/>
      <c r="M445" s="8"/>
      <c r="N445" s="8"/>
    </row>
    <row r="446" spans="11:14" ht="15.75" customHeight="1" x14ac:dyDescent="0.3">
      <c r="K446" s="8"/>
      <c r="L446" s="8"/>
      <c r="M446" s="8"/>
      <c r="N446" s="8"/>
    </row>
    <row r="447" spans="11:14" ht="15.75" customHeight="1" x14ac:dyDescent="0.3">
      <c r="K447" s="8"/>
      <c r="L447" s="8"/>
      <c r="M447" s="8"/>
      <c r="N447" s="8"/>
    </row>
    <row r="448" spans="11:14" ht="15.75" customHeight="1" x14ac:dyDescent="0.3">
      <c r="K448" s="8"/>
      <c r="L448" s="8"/>
      <c r="M448" s="8"/>
      <c r="N448" s="8"/>
    </row>
    <row r="449" spans="11:14" ht="15.75" customHeight="1" x14ac:dyDescent="0.3">
      <c r="K449" s="8"/>
      <c r="L449" s="8"/>
      <c r="M449" s="8"/>
      <c r="N449" s="8"/>
    </row>
    <row r="450" spans="11:14" ht="15.75" customHeight="1" x14ac:dyDescent="0.3">
      <c r="K450" s="8"/>
      <c r="L450" s="8"/>
      <c r="M450" s="8"/>
      <c r="N450" s="8"/>
    </row>
    <row r="451" spans="11:14" ht="15.75" customHeight="1" x14ac:dyDescent="0.3">
      <c r="K451" s="8"/>
      <c r="L451" s="8"/>
      <c r="M451" s="8"/>
      <c r="N451" s="8"/>
    </row>
    <row r="452" spans="11:14" ht="15.75" customHeight="1" x14ac:dyDescent="0.3">
      <c r="K452" s="8"/>
      <c r="L452" s="8"/>
      <c r="M452" s="8"/>
      <c r="N452" s="8"/>
    </row>
    <row r="453" spans="11:14" ht="15.75" customHeight="1" x14ac:dyDescent="0.3">
      <c r="K453" s="8"/>
      <c r="L453" s="8"/>
      <c r="M453" s="8"/>
      <c r="N453" s="8"/>
    </row>
    <row r="454" spans="11:14" ht="15.75" customHeight="1" x14ac:dyDescent="0.3">
      <c r="K454" s="8"/>
      <c r="L454" s="8"/>
      <c r="M454" s="8"/>
      <c r="N454" s="8"/>
    </row>
    <row r="455" spans="11:14" ht="15.75" customHeight="1" x14ac:dyDescent="0.3">
      <c r="K455" s="8"/>
      <c r="L455" s="8"/>
      <c r="M455" s="8"/>
      <c r="N455" s="8"/>
    </row>
    <row r="456" spans="11:14" ht="15.75" customHeight="1" x14ac:dyDescent="0.3">
      <c r="K456" s="8"/>
      <c r="L456" s="8"/>
      <c r="M456" s="8"/>
      <c r="N456" s="8"/>
    </row>
    <row r="457" spans="11:14" ht="15.75" customHeight="1" x14ac:dyDescent="0.3">
      <c r="K457" s="8"/>
      <c r="L457" s="8"/>
      <c r="M457" s="8"/>
      <c r="N457" s="8"/>
    </row>
    <row r="458" spans="11:14" ht="15.75" customHeight="1" x14ac:dyDescent="0.3">
      <c r="K458" s="8"/>
      <c r="L458" s="8"/>
      <c r="M458" s="8"/>
      <c r="N458" s="8"/>
    </row>
    <row r="459" spans="11:14" ht="15.75" customHeight="1" x14ac:dyDescent="0.3">
      <c r="K459" s="8"/>
      <c r="L459" s="8"/>
      <c r="M459" s="8"/>
      <c r="N459" s="8"/>
    </row>
    <row r="460" spans="11:14" ht="15.75" customHeight="1" x14ac:dyDescent="0.3">
      <c r="K460" s="8"/>
      <c r="L460" s="8"/>
      <c r="M460" s="8"/>
      <c r="N460" s="8"/>
    </row>
    <row r="461" spans="11:14" ht="15.75" customHeight="1" x14ac:dyDescent="0.3">
      <c r="K461" s="8"/>
      <c r="L461" s="8"/>
      <c r="M461" s="8"/>
      <c r="N461" s="8"/>
    </row>
    <row r="462" spans="11:14" ht="15.75" customHeight="1" x14ac:dyDescent="0.3">
      <c r="K462" s="8"/>
      <c r="L462" s="8"/>
      <c r="M462" s="8"/>
      <c r="N462" s="8"/>
    </row>
    <row r="463" spans="11:14" ht="15.75" customHeight="1" x14ac:dyDescent="0.3">
      <c r="K463" s="8"/>
      <c r="L463" s="8"/>
      <c r="M463" s="8"/>
      <c r="N463" s="8"/>
    </row>
    <row r="464" spans="11:14" ht="15.75" customHeight="1" x14ac:dyDescent="0.3">
      <c r="K464" s="8"/>
      <c r="L464" s="8"/>
      <c r="M464" s="8"/>
      <c r="N464" s="8"/>
    </row>
    <row r="465" spans="11:14" ht="15.75" customHeight="1" x14ac:dyDescent="0.3">
      <c r="K465" s="8"/>
      <c r="L465" s="8"/>
      <c r="M465" s="8"/>
      <c r="N465" s="8"/>
    </row>
    <row r="466" spans="11:14" ht="15.75" customHeight="1" x14ac:dyDescent="0.3">
      <c r="K466" s="8"/>
      <c r="L466" s="8"/>
      <c r="M466" s="8"/>
      <c r="N466" s="8"/>
    </row>
    <row r="467" spans="11:14" ht="15.75" customHeight="1" x14ac:dyDescent="0.3">
      <c r="K467" s="8"/>
      <c r="L467" s="8"/>
      <c r="M467" s="8"/>
      <c r="N467" s="8"/>
    </row>
    <row r="468" spans="11:14" ht="15.75" customHeight="1" x14ac:dyDescent="0.3">
      <c r="K468" s="8"/>
      <c r="L468" s="8"/>
      <c r="M468" s="8"/>
      <c r="N468" s="8"/>
    </row>
    <row r="469" spans="11:14" ht="15.75" customHeight="1" x14ac:dyDescent="0.3">
      <c r="K469" s="8"/>
      <c r="L469" s="8"/>
      <c r="M469" s="8"/>
      <c r="N469" s="8"/>
    </row>
    <row r="470" spans="11:14" ht="15.75" customHeight="1" x14ac:dyDescent="0.3">
      <c r="K470" s="8"/>
      <c r="L470" s="8"/>
      <c r="M470" s="8"/>
      <c r="N470" s="8"/>
    </row>
    <row r="471" spans="11:14" ht="15.75" customHeight="1" x14ac:dyDescent="0.3">
      <c r="K471" s="8"/>
      <c r="L471" s="8"/>
      <c r="M471" s="8"/>
      <c r="N471" s="8"/>
    </row>
    <row r="472" spans="11:14" ht="15.75" customHeight="1" x14ac:dyDescent="0.3">
      <c r="K472" s="8"/>
      <c r="L472" s="8"/>
      <c r="M472" s="8"/>
      <c r="N472" s="8"/>
    </row>
    <row r="473" spans="11:14" ht="15.75" customHeight="1" x14ac:dyDescent="0.3">
      <c r="K473" s="8"/>
      <c r="L473" s="8"/>
      <c r="M473" s="8"/>
      <c r="N473" s="8"/>
    </row>
    <row r="474" spans="11:14" ht="15.75" customHeight="1" x14ac:dyDescent="0.3">
      <c r="K474" s="8"/>
      <c r="L474" s="8"/>
      <c r="M474" s="8"/>
      <c r="N474" s="8"/>
    </row>
    <row r="475" spans="11:14" ht="15.75" customHeight="1" x14ac:dyDescent="0.3">
      <c r="K475" s="8"/>
      <c r="L475" s="8"/>
      <c r="M475" s="8"/>
      <c r="N475" s="8"/>
    </row>
    <row r="476" spans="11:14" ht="15.75" customHeight="1" x14ac:dyDescent="0.3">
      <c r="K476" s="8"/>
      <c r="L476" s="8"/>
      <c r="M476" s="8"/>
      <c r="N476" s="8"/>
    </row>
    <row r="477" spans="11:14" ht="15.75" customHeight="1" x14ac:dyDescent="0.3">
      <c r="K477" s="8"/>
      <c r="L477" s="8"/>
      <c r="M477" s="8"/>
      <c r="N477" s="8"/>
    </row>
    <row r="478" spans="11:14" ht="15.75" customHeight="1" x14ac:dyDescent="0.3">
      <c r="K478" s="8"/>
      <c r="L478" s="8"/>
      <c r="M478" s="8"/>
      <c r="N478" s="8"/>
    </row>
    <row r="479" spans="11:14" ht="15.75" customHeight="1" x14ac:dyDescent="0.3">
      <c r="K479" s="8"/>
      <c r="L479" s="8"/>
      <c r="M479" s="8"/>
      <c r="N479" s="8"/>
    </row>
    <row r="480" spans="11:14" ht="15.75" customHeight="1" x14ac:dyDescent="0.3">
      <c r="K480" s="8"/>
      <c r="L480" s="8"/>
      <c r="M480" s="8"/>
      <c r="N480" s="8"/>
    </row>
    <row r="481" spans="11:14" ht="15.75" customHeight="1" x14ac:dyDescent="0.3">
      <c r="K481" s="8"/>
      <c r="L481" s="8"/>
      <c r="M481" s="8"/>
      <c r="N481" s="8"/>
    </row>
    <row r="482" spans="11:14" ht="15.75" customHeight="1" x14ac:dyDescent="0.3">
      <c r="K482" s="8"/>
      <c r="L482" s="8"/>
      <c r="M482" s="8"/>
      <c r="N482" s="8"/>
    </row>
    <row r="483" spans="11:14" ht="15.75" customHeight="1" x14ac:dyDescent="0.3">
      <c r="K483" s="8"/>
      <c r="L483" s="8"/>
      <c r="M483" s="8"/>
      <c r="N483" s="8"/>
    </row>
    <row r="484" spans="11:14" ht="15.75" customHeight="1" x14ac:dyDescent="0.3">
      <c r="K484" s="8"/>
      <c r="L484" s="8"/>
      <c r="M484" s="8"/>
      <c r="N484" s="8"/>
    </row>
    <row r="485" spans="11:14" ht="15.75" customHeight="1" x14ac:dyDescent="0.3">
      <c r="K485" s="8"/>
      <c r="L485" s="8"/>
      <c r="M485" s="8"/>
      <c r="N485" s="8"/>
    </row>
    <row r="486" spans="11:14" ht="15.75" customHeight="1" x14ac:dyDescent="0.3">
      <c r="K486" s="8"/>
      <c r="L486" s="8"/>
      <c r="M486" s="8"/>
      <c r="N486" s="8"/>
    </row>
    <row r="487" spans="11:14" ht="15.75" customHeight="1" x14ac:dyDescent="0.3">
      <c r="K487" s="8"/>
      <c r="L487" s="8"/>
      <c r="M487" s="8"/>
      <c r="N487" s="8"/>
    </row>
    <row r="488" spans="11:14" ht="15.75" customHeight="1" x14ac:dyDescent="0.3">
      <c r="K488" s="8"/>
      <c r="L488" s="8"/>
      <c r="M488" s="8"/>
      <c r="N488" s="8"/>
    </row>
    <row r="489" spans="11:14" ht="15.75" customHeight="1" x14ac:dyDescent="0.3">
      <c r="K489" s="8"/>
      <c r="L489" s="8"/>
      <c r="M489" s="8"/>
      <c r="N489" s="8"/>
    </row>
    <row r="490" spans="11:14" ht="15.75" customHeight="1" x14ac:dyDescent="0.3">
      <c r="K490" s="8"/>
      <c r="L490" s="8"/>
      <c r="M490" s="8"/>
      <c r="N490" s="8"/>
    </row>
    <row r="491" spans="11:14" ht="15.75" customHeight="1" x14ac:dyDescent="0.3">
      <c r="K491" s="8"/>
      <c r="L491" s="8"/>
      <c r="M491" s="8"/>
      <c r="N491" s="8"/>
    </row>
    <row r="492" spans="11:14" ht="15.75" customHeight="1" x14ac:dyDescent="0.3">
      <c r="K492" s="8"/>
      <c r="L492" s="8"/>
      <c r="M492" s="8"/>
      <c r="N492" s="8"/>
    </row>
    <row r="493" spans="11:14" ht="15.75" customHeight="1" x14ac:dyDescent="0.3">
      <c r="K493" s="8"/>
      <c r="L493" s="8"/>
      <c r="M493" s="8"/>
      <c r="N493" s="8"/>
    </row>
    <row r="494" spans="11:14" ht="15.75" customHeight="1" x14ac:dyDescent="0.3">
      <c r="K494" s="8"/>
      <c r="L494" s="8"/>
      <c r="M494" s="8"/>
      <c r="N494" s="8"/>
    </row>
    <row r="495" spans="11:14" ht="15.75" customHeight="1" x14ac:dyDescent="0.3">
      <c r="K495" s="8"/>
      <c r="L495" s="8"/>
      <c r="M495" s="8"/>
      <c r="N495" s="8"/>
    </row>
    <row r="496" spans="11:14" ht="15.75" customHeight="1" x14ac:dyDescent="0.3">
      <c r="K496" s="8"/>
      <c r="L496" s="8"/>
      <c r="M496" s="8"/>
      <c r="N496" s="8"/>
    </row>
    <row r="497" spans="11:14" ht="15.75" customHeight="1" x14ac:dyDescent="0.3">
      <c r="K497" s="8"/>
      <c r="L497" s="8"/>
      <c r="M497" s="8"/>
      <c r="N497" s="8"/>
    </row>
    <row r="498" spans="11:14" ht="15.75" customHeight="1" x14ac:dyDescent="0.3">
      <c r="K498" s="8"/>
      <c r="L498" s="8"/>
      <c r="M498" s="8"/>
      <c r="N498" s="8"/>
    </row>
    <row r="499" spans="11:14" ht="15.75" customHeight="1" x14ac:dyDescent="0.3">
      <c r="K499" s="8"/>
      <c r="L499" s="8"/>
      <c r="M499" s="8"/>
      <c r="N499" s="8"/>
    </row>
    <row r="500" spans="11:14" ht="15.75" customHeight="1" x14ac:dyDescent="0.3">
      <c r="K500" s="8"/>
      <c r="L500" s="8"/>
      <c r="M500" s="8"/>
      <c r="N500" s="8"/>
    </row>
    <row r="501" spans="11:14" ht="15.75" customHeight="1" x14ac:dyDescent="0.3">
      <c r="K501" s="8"/>
      <c r="L501" s="8"/>
      <c r="M501" s="8"/>
      <c r="N501" s="8"/>
    </row>
    <row r="502" spans="11:14" ht="15.75" customHeight="1" x14ac:dyDescent="0.3">
      <c r="K502" s="8"/>
      <c r="L502" s="8"/>
      <c r="M502" s="8"/>
      <c r="N502" s="8"/>
    </row>
    <row r="503" spans="11:14" ht="15.75" customHeight="1" x14ac:dyDescent="0.3">
      <c r="K503" s="8"/>
      <c r="L503" s="8"/>
      <c r="M503" s="8"/>
      <c r="N503" s="8"/>
    </row>
    <row r="504" spans="11:14" ht="15.75" customHeight="1" x14ac:dyDescent="0.3">
      <c r="K504" s="8"/>
      <c r="L504" s="8"/>
      <c r="M504" s="8"/>
      <c r="N504" s="8"/>
    </row>
    <row r="505" spans="11:14" ht="15.75" customHeight="1" x14ac:dyDescent="0.3">
      <c r="K505" s="8"/>
      <c r="L505" s="8"/>
      <c r="M505" s="8"/>
      <c r="N505" s="8"/>
    </row>
    <row r="506" spans="11:14" ht="15.75" customHeight="1" x14ac:dyDescent="0.3">
      <c r="K506" s="8"/>
      <c r="L506" s="8"/>
      <c r="M506" s="8"/>
      <c r="N506" s="8"/>
    </row>
    <row r="507" spans="11:14" ht="15.75" customHeight="1" x14ac:dyDescent="0.3">
      <c r="K507" s="8"/>
      <c r="L507" s="8"/>
      <c r="M507" s="8"/>
      <c r="N507" s="8"/>
    </row>
    <row r="508" spans="11:14" ht="15.75" customHeight="1" x14ac:dyDescent="0.3">
      <c r="K508" s="8"/>
      <c r="L508" s="8"/>
      <c r="M508" s="8"/>
      <c r="N508" s="8"/>
    </row>
    <row r="509" spans="11:14" ht="15.75" customHeight="1" x14ac:dyDescent="0.3">
      <c r="K509" s="8"/>
      <c r="L509" s="8"/>
      <c r="M509" s="8"/>
      <c r="N509" s="8"/>
    </row>
    <row r="510" spans="11:14" ht="15.75" customHeight="1" x14ac:dyDescent="0.3">
      <c r="K510" s="8"/>
      <c r="L510" s="8"/>
      <c r="M510" s="8"/>
      <c r="N510" s="8"/>
    </row>
    <row r="511" spans="11:14" ht="15.75" customHeight="1" x14ac:dyDescent="0.3">
      <c r="K511" s="8"/>
      <c r="L511" s="8"/>
      <c r="M511" s="8"/>
      <c r="N511" s="8"/>
    </row>
    <row r="512" spans="11:14" ht="15.75" customHeight="1" x14ac:dyDescent="0.3">
      <c r="K512" s="8"/>
      <c r="L512" s="8"/>
      <c r="M512" s="8"/>
      <c r="N512" s="8"/>
    </row>
    <row r="513" spans="11:14" ht="15.75" customHeight="1" x14ac:dyDescent="0.3">
      <c r="K513" s="8"/>
      <c r="L513" s="8"/>
      <c r="M513" s="8"/>
      <c r="N513" s="8"/>
    </row>
    <row r="514" spans="11:14" ht="15.75" customHeight="1" x14ac:dyDescent="0.3">
      <c r="K514" s="8"/>
      <c r="L514" s="8"/>
      <c r="M514" s="8"/>
      <c r="N514" s="8"/>
    </row>
    <row r="515" spans="11:14" ht="15.75" customHeight="1" x14ac:dyDescent="0.3">
      <c r="K515" s="8"/>
      <c r="L515" s="8"/>
      <c r="M515" s="8"/>
      <c r="N515" s="8"/>
    </row>
    <row r="516" spans="11:14" ht="15.75" customHeight="1" x14ac:dyDescent="0.3">
      <c r="K516" s="8"/>
      <c r="L516" s="8"/>
      <c r="M516" s="8"/>
      <c r="N516" s="8"/>
    </row>
    <row r="517" spans="11:14" ht="15.75" customHeight="1" x14ac:dyDescent="0.3">
      <c r="K517" s="8"/>
      <c r="L517" s="8"/>
      <c r="M517" s="8"/>
      <c r="N517" s="8"/>
    </row>
    <row r="518" spans="11:14" ht="15.75" customHeight="1" x14ac:dyDescent="0.3">
      <c r="K518" s="8"/>
      <c r="L518" s="8"/>
      <c r="M518" s="8"/>
      <c r="N518" s="8"/>
    </row>
    <row r="519" spans="11:14" ht="15.75" customHeight="1" x14ac:dyDescent="0.3">
      <c r="K519" s="8"/>
      <c r="L519" s="8"/>
      <c r="M519" s="8"/>
      <c r="N519" s="8"/>
    </row>
    <row r="520" spans="11:14" ht="15.75" customHeight="1" x14ac:dyDescent="0.3">
      <c r="K520" s="8"/>
      <c r="L520" s="8"/>
      <c r="M520" s="8"/>
      <c r="N520" s="8"/>
    </row>
    <row r="521" spans="11:14" ht="15.75" customHeight="1" x14ac:dyDescent="0.3">
      <c r="K521" s="8"/>
      <c r="L521" s="8"/>
      <c r="M521" s="8"/>
      <c r="N521" s="8"/>
    </row>
    <row r="522" spans="11:14" ht="15.75" customHeight="1" x14ac:dyDescent="0.3">
      <c r="K522" s="8"/>
      <c r="L522" s="8"/>
      <c r="M522" s="8"/>
      <c r="N522" s="8"/>
    </row>
    <row r="523" spans="11:14" ht="15.75" customHeight="1" x14ac:dyDescent="0.3">
      <c r="K523" s="8"/>
      <c r="L523" s="8"/>
      <c r="M523" s="8"/>
      <c r="N523" s="8"/>
    </row>
    <row r="524" spans="11:14" ht="15.75" customHeight="1" x14ac:dyDescent="0.3">
      <c r="K524" s="8"/>
      <c r="L524" s="8"/>
      <c r="M524" s="8"/>
      <c r="N524" s="8"/>
    </row>
    <row r="525" spans="11:14" ht="15.75" customHeight="1" x14ac:dyDescent="0.3">
      <c r="K525" s="8"/>
      <c r="L525" s="8"/>
      <c r="M525" s="8"/>
      <c r="N525" s="8"/>
    </row>
    <row r="526" spans="11:14" ht="15.75" customHeight="1" x14ac:dyDescent="0.3">
      <c r="K526" s="8"/>
      <c r="L526" s="8"/>
      <c r="M526" s="8"/>
      <c r="N526" s="8"/>
    </row>
    <row r="527" spans="11:14" ht="15.75" customHeight="1" x14ac:dyDescent="0.3">
      <c r="K527" s="8"/>
      <c r="L527" s="8"/>
      <c r="M527" s="8"/>
      <c r="N527" s="8"/>
    </row>
    <row r="528" spans="11:14" ht="15.75" customHeight="1" x14ac:dyDescent="0.3">
      <c r="K528" s="8"/>
      <c r="L528" s="8"/>
      <c r="M528" s="8"/>
      <c r="N528" s="8"/>
    </row>
    <row r="529" spans="11:14" ht="15.75" customHeight="1" x14ac:dyDescent="0.3">
      <c r="K529" s="8"/>
      <c r="L529" s="8"/>
      <c r="M529" s="8"/>
      <c r="N529" s="8"/>
    </row>
    <row r="530" spans="11:14" ht="15.75" customHeight="1" x14ac:dyDescent="0.3">
      <c r="K530" s="8"/>
      <c r="L530" s="8"/>
      <c r="M530" s="8"/>
      <c r="N530" s="8"/>
    </row>
    <row r="531" spans="11:14" ht="15.75" customHeight="1" x14ac:dyDescent="0.3">
      <c r="K531" s="8"/>
      <c r="L531" s="8"/>
      <c r="M531" s="8"/>
      <c r="N531" s="8"/>
    </row>
    <row r="532" spans="11:14" ht="15.75" customHeight="1" x14ac:dyDescent="0.3">
      <c r="K532" s="8"/>
      <c r="L532" s="8"/>
      <c r="M532" s="8"/>
      <c r="N532" s="8"/>
    </row>
    <row r="533" spans="11:14" ht="15.75" customHeight="1" x14ac:dyDescent="0.3">
      <c r="K533" s="8"/>
      <c r="L533" s="8"/>
      <c r="M533" s="8"/>
      <c r="N533" s="8"/>
    </row>
    <row r="534" spans="11:14" ht="15.75" customHeight="1" x14ac:dyDescent="0.3">
      <c r="K534" s="8"/>
      <c r="L534" s="8"/>
      <c r="M534" s="8"/>
      <c r="N534" s="8"/>
    </row>
    <row r="535" spans="11:14" ht="15.75" customHeight="1" x14ac:dyDescent="0.3">
      <c r="K535" s="8"/>
      <c r="L535" s="8"/>
      <c r="M535" s="8"/>
      <c r="N535" s="8"/>
    </row>
    <row r="536" spans="11:14" ht="15.75" customHeight="1" x14ac:dyDescent="0.3">
      <c r="K536" s="8"/>
      <c r="L536" s="8"/>
      <c r="M536" s="8"/>
      <c r="N536" s="8"/>
    </row>
    <row r="537" spans="11:14" ht="15.75" customHeight="1" x14ac:dyDescent="0.3">
      <c r="K537" s="8"/>
      <c r="L537" s="8"/>
      <c r="M537" s="8"/>
      <c r="N537" s="8"/>
    </row>
    <row r="538" spans="11:14" ht="15.75" customHeight="1" x14ac:dyDescent="0.3">
      <c r="K538" s="8"/>
      <c r="L538" s="8"/>
      <c r="M538" s="8"/>
      <c r="N538" s="8"/>
    </row>
    <row r="539" spans="11:14" ht="15.75" customHeight="1" x14ac:dyDescent="0.3">
      <c r="K539" s="8"/>
      <c r="L539" s="8"/>
      <c r="M539" s="8"/>
      <c r="N539" s="8"/>
    </row>
    <row r="540" spans="11:14" ht="15.75" customHeight="1" x14ac:dyDescent="0.3">
      <c r="K540" s="8"/>
      <c r="L540" s="8"/>
      <c r="M540" s="8"/>
      <c r="N540" s="8"/>
    </row>
    <row r="541" spans="11:14" ht="15.75" customHeight="1" x14ac:dyDescent="0.3">
      <c r="K541" s="8"/>
      <c r="L541" s="8"/>
      <c r="M541" s="8"/>
      <c r="N541" s="8"/>
    </row>
    <row r="542" spans="11:14" ht="15.75" customHeight="1" x14ac:dyDescent="0.3">
      <c r="K542" s="8"/>
      <c r="L542" s="8"/>
      <c r="M542" s="8"/>
      <c r="N542" s="8"/>
    </row>
    <row r="543" spans="11:14" ht="15.75" customHeight="1" x14ac:dyDescent="0.3">
      <c r="K543" s="8"/>
      <c r="L543" s="8"/>
      <c r="M543" s="8"/>
      <c r="N543" s="8"/>
    </row>
    <row r="544" spans="11:14" ht="15.75" customHeight="1" x14ac:dyDescent="0.3">
      <c r="K544" s="8"/>
      <c r="L544" s="8"/>
      <c r="M544" s="8"/>
      <c r="N544" s="8"/>
    </row>
    <row r="545" spans="11:14" ht="15.75" customHeight="1" x14ac:dyDescent="0.3">
      <c r="K545" s="8"/>
      <c r="L545" s="8"/>
      <c r="M545" s="8"/>
      <c r="N545" s="8"/>
    </row>
    <row r="546" spans="11:14" ht="15.75" customHeight="1" x14ac:dyDescent="0.3">
      <c r="K546" s="8"/>
      <c r="L546" s="8"/>
      <c r="M546" s="8"/>
      <c r="N546" s="8"/>
    </row>
    <row r="547" spans="11:14" ht="15.75" customHeight="1" x14ac:dyDescent="0.3">
      <c r="K547" s="8"/>
      <c r="L547" s="8"/>
      <c r="M547" s="8"/>
      <c r="N547" s="8"/>
    </row>
    <row r="548" spans="11:14" ht="15.75" customHeight="1" x14ac:dyDescent="0.3">
      <c r="K548" s="8"/>
      <c r="L548" s="8"/>
      <c r="M548" s="8"/>
      <c r="N548" s="8"/>
    </row>
    <row r="549" spans="11:14" ht="15.75" customHeight="1" x14ac:dyDescent="0.3">
      <c r="K549" s="8"/>
      <c r="L549" s="8"/>
      <c r="M549" s="8"/>
      <c r="N549" s="8"/>
    </row>
    <row r="550" spans="11:14" ht="15.75" customHeight="1" x14ac:dyDescent="0.3">
      <c r="K550" s="8"/>
      <c r="L550" s="8"/>
      <c r="M550" s="8"/>
      <c r="N550" s="8"/>
    </row>
    <row r="551" spans="11:14" ht="15.75" customHeight="1" x14ac:dyDescent="0.3">
      <c r="K551" s="8"/>
      <c r="L551" s="8"/>
      <c r="M551" s="8"/>
      <c r="N551" s="8"/>
    </row>
    <row r="552" spans="11:14" ht="15.75" customHeight="1" x14ac:dyDescent="0.3">
      <c r="K552" s="8"/>
      <c r="L552" s="8"/>
      <c r="M552" s="8"/>
      <c r="N552" s="8"/>
    </row>
    <row r="553" spans="11:14" ht="15.75" customHeight="1" x14ac:dyDescent="0.3">
      <c r="K553" s="8"/>
      <c r="L553" s="8"/>
      <c r="M553" s="8"/>
      <c r="N553" s="8"/>
    </row>
    <row r="554" spans="11:14" ht="15.75" customHeight="1" x14ac:dyDescent="0.3">
      <c r="K554" s="8"/>
      <c r="L554" s="8"/>
      <c r="M554" s="8"/>
      <c r="N554" s="8"/>
    </row>
    <row r="555" spans="11:14" ht="15.75" customHeight="1" x14ac:dyDescent="0.3">
      <c r="K555" s="8"/>
      <c r="L555" s="8"/>
      <c r="M555" s="8"/>
      <c r="N555" s="8"/>
    </row>
    <row r="556" spans="11:14" ht="15.75" customHeight="1" x14ac:dyDescent="0.3">
      <c r="K556" s="8"/>
      <c r="L556" s="8"/>
      <c r="M556" s="8"/>
      <c r="N556" s="8"/>
    </row>
    <row r="557" spans="11:14" ht="15.75" customHeight="1" x14ac:dyDescent="0.3">
      <c r="K557" s="8"/>
      <c r="L557" s="8"/>
      <c r="M557" s="8"/>
      <c r="N557" s="8"/>
    </row>
    <row r="558" spans="11:14" ht="15.75" customHeight="1" x14ac:dyDescent="0.3">
      <c r="K558" s="8"/>
      <c r="L558" s="8"/>
      <c r="M558" s="8"/>
      <c r="N558" s="8"/>
    </row>
    <row r="559" spans="11:14" ht="15.75" customHeight="1" x14ac:dyDescent="0.3">
      <c r="K559" s="8"/>
      <c r="L559" s="8"/>
      <c r="M559" s="8"/>
      <c r="N559" s="8"/>
    </row>
    <row r="560" spans="11:14" ht="15.75" customHeight="1" x14ac:dyDescent="0.3">
      <c r="K560" s="8"/>
      <c r="L560" s="8"/>
      <c r="M560" s="8"/>
      <c r="N560" s="8"/>
    </row>
    <row r="561" spans="11:14" ht="15.75" customHeight="1" x14ac:dyDescent="0.3">
      <c r="K561" s="8"/>
      <c r="L561" s="8"/>
      <c r="M561" s="8"/>
      <c r="N561" s="8"/>
    </row>
    <row r="562" spans="11:14" ht="15.75" customHeight="1" x14ac:dyDescent="0.3">
      <c r="K562" s="8"/>
      <c r="L562" s="8"/>
      <c r="M562" s="8"/>
      <c r="N562" s="8"/>
    </row>
    <row r="563" spans="11:14" ht="15.75" customHeight="1" x14ac:dyDescent="0.3">
      <c r="K563" s="8"/>
      <c r="L563" s="8"/>
      <c r="M563" s="8"/>
      <c r="N563" s="8"/>
    </row>
    <row r="564" spans="11:14" ht="15.75" customHeight="1" x14ac:dyDescent="0.3">
      <c r="K564" s="8"/>
      <c r="L564" s="8"/>
      <c r="M564" s="8"/>
      <c r="N564" s="8"/>
    </row>
    <row r="565" spans="11:14" ht="15.75" customHeight="1" x14ac:dyDescent="0.3">
      <c r="K565" s="8"/>
      <c r="L565" s="8"/>
      <c r="M565" s="8"/>
      <c r="N565" s="8"/>
    </row>
    <row r="566" spans="11:14" ht="15.75" customHeight="1" x14ac:dyDescent="0.3">
      <c r="K566" s="8"/>
      <c r="L566" s="8"/>
      <c r="M566" s="8"/>
      <c r="N566" s="8"/>
    </row>
    <row r="567" spans="11:14" ht="15.75" customHeight="1" x14ac:dyDescent="0.3">
      <c r="K567" s="8"/>
      <c r="L567" s="8"/>
      <c r="M567" s="8"/>
      <c r="N567" s="8"/>
    </row>
    <row r="568" spans="11:14" ht="15.75" customHeight="1" x14ac:dyDescent="0.3">
      <c r="K568" s="8"/>
      <c r="L568" s="8"/>
      <c r="M568" s="8"/>
      <c r="N568" s="8"/>
    </row>
    <row r="569" spans="11:14" ht="15.75" customHeight="1" x14ac:dyDescent="0.3">
      <c r="K569" s="8"/>
      <c r="L569" s="8"/>
      <c r="M569" s="8"/>
      <c r="N569" s="8"/>
    </row>
    <row r="570" spans="11:14" ht="15.75" customHeight="1" x14ac:dyDescent="0.3">
      <c r="K570" s="8"/>
      <c r="L570" s="8"/>
      <c r="M570" s="8"/>
      <c r="N570" s="8"/>
    </row>
    <row r="571" spans="11:14" ht="15.75" customHeight="1" x14ac:dyDescent="0.3">
      <c r="K571" s="8"/>
      <c r="L571" s="8"/>
      <c r="M571" s="8"/>
      <c r="N571" s="8"/>
    </row>
    <row r="572" spans="11:14" ht="15.75" customHeight="1" x14ac:dyDescent="0.3">
      <c r="K572" s="8"/>
      <c r="L572" s="8"/>
      <c r="M572" s="8"/>
      <c r="N572" s="8"/>
    </row>
    <row r="573" spans="11:14" ht="15.75" customHeight="1" x14ac:dyDescent="0.3">
      <c r="K573" s="8"/>
      <c r="L573" s="8"/>
      <c r="M573" s="8"/>
      <c r="N573" s="8"/>
    </row>
    <row r="574" spans="11:14" ht="15.75" customHeight="1" x14ac:dyDescent="0.3">
      <c r="K574" s="8"/>
      <c r="L574" s="8"/>
      <c r="M574" s="8"/>
      <c r="N574" s="8"/>
    </row>
    <row r="575" spans="11:14" ht="15.75" customHeight="1" x14ac:dyDescent="0.3">
      <c r="K575" s="8"/>
      <c r="L575" s="8"/>
      <c r="M575" s="8"/>
      <c r="N575" s="8"/>
    </row>
    <row r="576" spans="11:14" ht="15.75" customHeight="1" x14ac:dyDescent="0.3">
      <c r="K576" s="8"/>
      <c r="L576" s="8"/>
      <c r="M576" s="8"/>
      <c r="N576" s="8"/>
    </row>
    <row r="577" spans="11:14" ht="15.75" customHeight="1" x14ac:dyDescent="0.3">
      <c r="K577" s="8"/>
      <c r="L577" s="8"/>
      <c r="M577" s="8"/>
      <c r="N577" s="8"/>
    </row>
    <row r="578" spans="11:14" ht="15.75" customHeight="1" x14ac:dyDescent="0.3">
      <c r="K578" s="8"/>
      <c r="L578" s="8"/>
      <c r="M578" s="8"/>
      <c r="N578" s="8"/>
    </row>
    <row r="579" spans="11:14" ht="15.75" customHeight="1" x14ac:dyDescent="0.3">
      <c r="K579" s="8"/>
      <c r="L579" s="8"/>
      <c r="M579" s="8"/>
      <c r="N579" s="8"/>
    </row>
    <row r="580" spans="11:14" ht="15.75" customHeight="1" x14ac:dyDescent="0.3">
      <c r="K580" s="8"/>
      <c r="L580" s="8"/>
      <c r="M580" s="8"/>
      <c r="N580" s="8"/>
    </row>
    <row r="581" spans="11:14" ht="15.75" customHeight="1" x14ac:dyDescent="0.3">
      <c r="K581" s="8"/>
      <c r="L581" s="8"/>
      <c r="M581" s="8"/>
      <c r="N581" s="8"/>
    </row>
    <row r="582" spans="11:14" ht="15.75" customHeight="1" x14ac:dyDescent="0.3">
      <c r="K582" s="8"/>
      <c r="L582" s="8"/>
      <c r="M582" s="8"/>
      <c r="N582" s="8"/>
    </row>
    <row r="583" spans="11:14" ht="15.75" customHeight="1" x14ac:dyDescent="0.3">
      <c r="K583" s="8"/>
      <c r="L583" s="8"/>
      <c r="M583" s="8"/>
      <c r="N583" s="8"/>
    </row>
    <row r="584" spans="11:14" ht="15.75" customHeight="1" x14ac:dyDescent="0.3">
      <c r="K584" s="8"/>
      <c r="L584" s="8"/>
      <c r="M584" s="8"/>
      <c r="N584" s="8"/>
    </row>
    <row r="585" spans="11:14" ht="15.75" customHeight="1" x14ac:dyDescent="0.3">
      <c r="K585" s="8"/>
      <c r="L585" s="8"/>
      <c r="M585" s="8"/>
      <c r="N585" s="8"/>
    </row>
    <row r="586" spans="11:14" ht="15.75" customHeight="1" x14ac:dyDescent="0.3">
      <c r="K586" s="8"/>
      <c r="L586" s="8"/>
      <c r="M586" s="8"/>
      <c r="N586" s="8"/>
    </row>
    <row r="587" spans="11:14" ht="15.75" customHeight="1" x14ac:dyDescent="0.3">
      <c r="K587" s="8"/>
      <c r="L587" s="8"/>
      <c r="M587" s="8"/>
      <c r="N587" s="8"/>
    </row>
    <row r="588" spans="11:14" ht="15.75" customHeight="1" x14ac:dyDescent="0.3">
      <c r="K588" s="8"/>
      <c r="L588" s="8"/>
      <c r="M588" s="8"/>
      <c r="N588" s="8"/>
    </row>
    <row r="589" spans="11:14" ht="15.75" customHeight="1" x14ac:dyDescent="0.3">
      <c r="K589" s="8"/>
      <c r="L589" s="8"/>
      <c r="M589" s="8"/>
      <c r="N589" s="8"/>
    </row>
    <row r="590" spans="11:14" ht="15.75" customHeight="1" x14ac:dyDescent="0.3">
      <c r="K590" s="8"/>
      <c r="L590" s="8"/>
      <c r="M590" s="8"/>
      <c r="N590" s="8"/>
    </row>
    <row r="591" spans="11:14" ht="15.75" customHeight="1" x14ac:dyDescent="0.3">
      <c r="K591" s="8"/>
      <c r="L591" s="8"/>
      <c r="M591" s="8"/>
      <c r="N591" s="8"/>
    </row>
    <row r="592" spans="11:14" ht="15.75" customHeight="1" x14ac:dyDescent="0.3">
      <c r="K592" s="8"/>
      <c r="L592" s="8"/>
      <c r="M592" s="8"/>
      <c r="N592" s="8"/>
    </row>
    <row r="593" spans="11:14" ht="15.75" customHeight="1" x14ac:dyDescent="0.3">
      <c r="K593" s="8"/>
      <c r="L593" s="8"/>
      <c r="M593" s="8"/>
      <c r="N593" s="8"/>
    </row>
    <row r="594" spans="11:14" ht="15.75" customHeight="1" x14ac:dyDescent="0.3">
      <c r="K594" s="8"/>
      <c r="L594" s="8"/>
      <c r="M594" s="8"/>
      <c r="N594" s="8"/>
    </row>
    <row r="595" spans="11:14" ht="15.75" customHeight="1" x14ac:dyDescent="0.3">
      <c r="K595" s="8"/>
      <c r="L595" s="8"/>
      <c r="M595" s="8"/>
      <c r="N595" s="8"/>
    </row>
    <row r="596" spans="11:14" ht="15.75" customHeight="1" x14ac:dyDescent="0.3">
      <c r="K596" s="8"/>
      <c r="L596" s="8"/>
      <c r="M596" s="8"/>
      <c r="N596" s="8"/>
    </row>
    <row r="597" spans="11:14" ht="15.75" customHeight="1" x14ac:dyDescent="0.3">
      <c r="K597" s="8"/>
      <c r="L597" s="8"/>
      <c r="M597" s="8"/>
      <c r="N597" s="8"/>
    </row>
    <row r="598" spans="11:14" ht="15.75" customHeight="1" x14ac:dyDescent="0.3">
      <c r="K598" s="8"/>
      <c r="L598" s="8"/>
      <c r="M598" s="8"/>
      <c r="N598" s="8"/>
    </row>
    <row r="599" spans="11:14" ht="15.75" customHeight="1" x14ac:dyDescent="0.3">
      <c r="K599" s="8"/>
      <c r="L599" s="8"/>
      <c r="M599" s="8"/>
      <c r="N599" s="8"/>
    </row>
    <row r="600" spans="11:14" ht="15.75" customHeight="1" x14ac:dyDescent="0.3">
      <c r="K600" s="8"/>
      <c r="L600" s="8"/>
      <c r="M600" s="8"/>
      <c r="N600" s="8"/>
    </row>
    <row r="601" spans="11:14" ht="15.75" customHeight="1" x14ac:dyDescent="0.3">
      <c r="K601" s="8"/>
      <c r="L601" s="8"/>
      <c r="M601" s="8"/>
      <c r="N601" s="8"/>
    </row>
    <row r="602" spans="11:14" ht="15.75" customHeight="1" x14ac:dyDescent="0.3">
      <c r="K602" s="8"/>
      <c r="L602" s="8"/>
      <c r="M602" s="8"/>
      <c r="N602" s="8"/>
    </row>
    <row r="603" spans="11:14" ht="15.75" customHeight="1" x14ac:dyDescent="0.3">
      <c r="K603" s="8"/>
      <c r="L603" s="8"/>
      <c r="M603" s="8"/>
      <c r="N603" s="8"/>
    </row>
    <row r="604" spans="11:14" ht="15.75" customHeight="1" x14ac:dyDescent="0.3">
      <c r="K604" s="8"/>
      <c r="L604" s="8"/>
      <c r="M604" s="8"/>
      <c r="N604" s="8"/>
    </row>
    <row r="605" spans="11:14" ht="15.75" customHeight="1" x14ac:dyDescent="0.3">
      <c r="K605" s="8"/>
      <c r="L605" s="8"/>
      <c r="M605" s="8"/>
      <c r="N605" s="8"/>
    </row>
    <row r="606" spans="11:14" ht="15.75" customHeight="1" x14ac:dyDescent="0.3">
      <c r="K606" s="8"/>
      <c r="L606" s="8"/>
      <c r="M606" s="8"/>
      <c r="N606" s="8"/>
    </row>
    <row r="607" spans="11:14" ht="15.75" customHeight="1" x14ac:dyDescent="0.3">
      <c r="K607" s="8"/>
      <c r="L607" s="8"/>
      <c r="M607" s="8"/>
      <c r="N607" s="8"/>
    </row>
    <row r="608" spans="11:14" ht="15.75" customHeight="1" x14ac:dyDescent="0.3">
      <c r="K608" s="8"/>
      <c r="L608" s="8"/>
      <c r="M608" s="8"/>
      <c r="N608" s="8"/>
    </row>
    <row r="609" spans="11:14" ht="15.75" customHeight="1" x14ac:dyDescent="0.3">
      <c r="K609" s="8"/>
      <c r="L609" s="8"/>
      <c r="M609" s="8"/>
      <c r="N609" s="8"/>
    </row>
    <row r="610" spans="11:14" ht="15.75" customHeight="1" x14ac:dyDescent="0.3">
      <c r="K610" s="8"/>
      <c r="L610" s="8"/>
      <c r="M610" s="8"/>
      <c r="N610" s="8"/>
    </row>
    <row r="611" spans="11:14" ht="15.75" customHeight="1" x14ac:dyDescent="0.3">
      <c r="K611" s="8"/>
      <c r="L611" s="8"/>
      <c r="M611" s="8"/>
      <c r="N611" s="8"/>
    </row>
    <row r="612" spans="11:14" ht="15.75" customHeight="1" x14ac:dyDescent="0.3">
      <c r="K612" s="8"/>
      <c r="L612" s="8"/>
      <c r="M612" s="8"/>
      <c r="N612" s="8"/>
    </row>
    <row r="613" spans="11:14" ht="15.75" customHeight="1" x14ac:dyDescent="0.3">
      <c r="K613" s="8"/>
      <c r="L613" s="8"/>
      <c r="M613" s="8"/>
      <c r="N613" s="8"/>
    </row>
    <row r="614" spans="11:14" ht="15.75" customHeight="1" x14ac:dyDescent="0.3">
      <c r="K614" s="8"/>
      <c r="L614" s="8"/>
      <c r="M614" s="8"/>
      <c r="N614" s="8"/>
    </row>
    <row r="615" spans="11:14" ht="15.75" customHeight="1" x14ac:dyDescent="0.3">
      <c r="K615" s="8"/>
      <c r="L615" s="8"/>
      <c r="M615" s="8"/>
      <c r="N615" s="8"/>
    </row>
    <row r="616" spans="11:14" ht="15.75" customHeight="1" x14ac:dyDescent="0.3">
      <c r="K616" s="8"/>
      <c r="L616" s="8"/>
      <c r="M616" s="8"/>
      <c r="N616" s="8"/>
    </row>
    <row r="617" spans="11:14" ht="15.75" customHeight="1" x14ac:dyDescent="0.3">
      <c r="K617" s="8"/>
      <c r="L617" s="8"/>
      <c r="M617" s="8"/>
      <c r="N617" s="8"/>
    </row>
    <row r="618" spans="11:14" ht="15.75" customHeight="1" x14ac:dyDescent="0.3">
      <c r="K618" s="8"/>
      <c r="L618" s="8"/>
      <c r="M618" s="8"/>
      <c r="N618" s="8"/>
    </row>
    <row r="619" spans="11:14" ht="15.75" customHeight="1" x14ac:dyDescent="0.3">
      <c r="K619" s="8"/>
      <c r="L619" s="8"/>
      <c r="M619" s="8"/>
      <c r="N619" s="8"/>
    </row>
    <row r="620" spans="11:14" ht="15.75" customHeight="1" x14ac:dyDescent="0.3">
      <c r="K620" s="8"/>
      <c r="L620" s="8"/>
      <c r="M620" s="8"/>
      <c r="N620" s="8"/>
    </row>
    <row r="621" spans="11:14" ht="15.75" customHeight="1" x14ac:dyDescent="0.3">
      <c r="K621" s="8"/>
      <c r="L621" s="8"/>
      <c r="M621" s="8"/>
      <c r="N621" s="8"/>
    </row>
    <row r="622" spans="11:14" ht="15.75" customHeight="1" x14ac:dyDescent="0.3">
      <c r="K622" s="8"/>
      <c r="L622" s="8"/>
      <c r="M622" s="8"/>
      <c r="N622" s="8"/>
    </row>
    <row r="623" spans="11:14" ht="15.75" customHeight="1" x14ac:dyDescent="0.3">
      <c r="K623" s="8"/>
      <c r="L623" s="8"/>
      <c r="M623" s="8"/>
      <c r="N623" s="8"/>
    </row>
    <row r="624" spans="11:14" ht="15.75" customHeight="1" x14ac:dyDescent="0.3">
      <c r="K624" s="8"/>
      <c r="L624" s="8"/>
      <c r="M624" s="8"/>
      <c r="N624" s="8"/>
    </row>
    <row r="625" spans="11:14" ht="15.75" customHeight="1" x14ac:dyDescent="0.3">
      <c r="K625" s="8"/>
      <c r="L625" s="8"/>
      <c r="M625" s="8"/>
      <c r="N625" s="8"/>
    </row>
    <row r="626" spans="11:14" ht="15.75" customHeight="1" x14ac:dyDescent="0.3">
      <c r="K626" s="8"/>
      <c r="L626" s="8"/>
      <c r="M626" s="8"/>
      <c r="N626" s="8"/>
    </row>
    <row r="627" spans="11:14" ht="15.75" customHeight="1" x14ac:dyDescent="0.3">
      <c r="K627" s="8"/>
      <c r="L627" s="8"/>
      <c r="M627" s="8"/>
      <c r="N627" s="8"/>
    </row>
    <row r="628" spans="11:14" ht="15.75" customHeight="1" x14ac:dyDescent="0.3">
      <c r="K628" s="8"/>
      <c r="L628" s="8"/>
      <c r="M628" s="8"/>
      <c r="N628" s="8"/>
    </row>
    <row r="629" spans="11:14" ht="15.75" customHeight="1" x14ac:dyDescent="0.3">
      <c r="K629" s="8"/>
      <c r="L629" s="8"/>
      <c r="M629" s="8"/>
      <c r="N629" s="8"/>
    </row>
    <row r="630" spans="11:14" ht="15.75" customHeight="1" x14ac:dyDescent="0.3">
      <c r="K630" s="8"/>
      <c r="L630" s="8"/>
      <c r="M630" s="8"/>
      <c r="N630" s="8"/>
    </row>
    <row r="631" spans="11:14" ht="15.75" customHeight="1" x14ac:dyDescent="0.3">
      <c r="K631" s="8"/>
      <c r="L631" s="8"/>
      <c r="M631" s="8"/>
      <c r="N631" s="8"/>
    </row>
    <row r="632" spans="11:14" ht="15.75" customHeight="1" x14ac:dyDescent="0.3">
      <c r="K632" s="8"/>
      <c r="L632" s="8"/>
      <c r="M632" s="8"/>
      <c r="N632" s="8"/>
    </row>
    <row r="633" spans="11:14" ht="15.75" customHeight="1" x14ac:dyDescent="0.3">
      <c r="K633" s="8"/>
      <c r="L633" s="8"/>
      <c r="M633" s="8"/>
      <c r="N633" s="8"/>
    </row>
    <row r="634" spans="11:14" ht="15.75" customHeight="1" x14ac:dyDescent="0.3">
      <c r="K634" s="8"/>
      <c r="L634" s="8"/>
      <c r="M634" s="8"/>
      <c r="N634" s="8"/>
    </row>
    <row r="635" spans="11:14" ht="15.75" customHeight="1" x14ac:dyDescent="0.3">
      <c r="K635" s="8"/>
      <c r="L635" s="8"/>
      <c r="M635" s="8"/>
      <c r="N635" s="8"/>
    </row>
    <row r="636" spans="11:14" ht="15.75" customHeight="1" x14ac:dyDescent="0.3">
      <c r="K636" s="8"/>
      <c r="L636" s="8"/>
      <c r="M636" s="8"/>
      <c r="N636" s="8"/>
    </row>
    <row r="637" spans="11:14" ht="15.75" customHeight="1" x14ac:dyDescent="0.3">
      <c r="K637" s="8"/>
      <c r="L637" s="8"/>
      <c r="M637" s="8"/>
      <c r="N637" s="8"/>
    </row>
    <row r="638" spans="11:14" ht="15.75" customHeight="1" x14ac:dyDescent="0.3">
      <c r="K638" s="8"/>
      <c r="L638" s="8"/>
      <c r="M638" s="8"/>
      <c r="N638" s="8"/>
    </row>
    <row r="639" spans="11:14" ht="15.75" customHeight="1" x14ac:dyDescent="0.3">
      <c r="K639" s="8"/>
      <c r="L639" s="8"/>
      <c r="M639" s="8"/>
      <c r="N639" s="8"/>
    </row>
    <row r="640" spans="11:14" ht="15.75" customHeight="1" x14ac:dyDescent="0.3">
      <c r="K640" s="8"/>
      <c r="L640" s="8"/>
      <c r="M640" s="8"/>
      <c r="N640" s="8"/>
    </row>
    <row r="641" spans="11:14" ht="15.75" customHeight="1" x14ac:dyDescent="0.3">
      <c r="K641" s="8"/>
      <c r="L641" s="8"/>
      <c r="M641" s="8"/>
      <c r="N641" s="8"/>
    </row>
    <row r="642" spans="11:14" ht="15.75" customHeight="1" x14ac:dyDescent="0.3">
      <c r="K642" s="8"/>
      <c r="L642" s="8"/>
      <c r="M642" s="8"/>
      <c r="N642" s="8"/>
    </row>
    <row r="643" spans="11:14" ht="15.75" customHeight="1" x14ac:dyDescent="0.3">
      <c r="K643" s="8"/>
      <c r="L643" s="8"/>
      <c r="M643" s="8"/>
      <c r="N643" s="8"/>
    </row>
    <row r="644" spans="11:14" ht="15.75" customHeight="1" x14ac:dyDescent="0.3">
      <c r="K644" s="8"/>
      <c r="L644" s="8"/>
      <c r="M644" s="8"/>
      <c r="N644" s="8"/>
    </row>
    <row r="645" spans="11:14" ht="15.75" customHeight="1" x14ac:dyDescent="0.3">
      <c r="K645" s="8"/>
      <c r="L645" s="8"/>
      <c r="M645" s="8"/>
      <c r="N645" s="8"/>
    </row>
    <row r="646" spans="11:14" ht="15.75" customHeight="1" x14ac:dyDescent="0.3">
      <c r="K646" s="8"/>
      <c r="L646" s="8"/>
      <c r="M646" s="8"/>
      <c r="N646" s="8"/>
    </row>
    <row r="647" spans="11:14" ht="15.75" customHeight="1" x14ac:dyDescent="0.3">
      <c r="K647" s="8"/>
      <c r="L647" s="8"/>
      <c r="M647" s="8"/>
      <c r="N647" s="8"/>
    </row>
    <row r="648" spans="11:14" ht="15.75" customHeight="1" x14ac:dyDescent="0.3">
      <c r="K648" s="8"/>
      <c r="L648" s="8"/>
      <c r="M648" s="8"/>
      <c r="N648" s="8"/>
    </row>
    <row r="649" spans="11:14" ht="15.75" customHeight="1" x14ac:dyDescent="0.3">
      <c r="K649" s="8"/>
      <c r="L649" s="8"/>
      <c r="M649" s="8"/>
      <c r="N649" s="8"/>
    </row>
    <row r="650" spans="11:14" ht="15.75" customHeight="1" x14ac:dyDescent="0.3">
      <c r="K650" s="8"/>
      <c r="L650" s="8"/>
      <c r="M650" s="8"/>
      <c r="N650" s="8"/>
    </row>
    <row r="651" spans="11:14" ht="15.75" customHeight="1" x14ac:dyDescent="0.3">
      <c r="K651" s="8"/>
      <c r="L651" s="8"/>
      <c r="M651" s="8"/>
      <c r="N651" s="8"/>
    </row>
    <row r="652" spans="11:14" ht="15.75" customHeight="1" x14ac:dyDescent="0.3">
      <c r="K652" s="8"/>
      <c r="L652" s="8"/>
      <c r="M652" s="8"/>
      <c r="N652" s="8"/>
    </row>
    <row r="653" spans="11:14" ht="15.75" customHeight="1" x14ac:dyDescent="0.3">
      <c r="K653" s="8"/>
      <c r="L653" s="8"/>
      <c r="M653" s="8"/>
      <c r="N653" s="8"/>
    </row>
    <row r="654" spans="11:14" ht="15.75" customHeight="1" x14ac:dyDescent="0.3">
      <c r="K654" s="8"/>
      <c r="L654" s="8"/>
      <c r="M654" s="8"/>
      <c r="N654" s="8"/>
    </row>
    <row r="655" spans="11:14" ht="15.75" customHeight="1" x14ac:dyDescent="0.3">
      <c r="K655" s="8"/>
      <c r="L655" s="8"/>
      <c r="M655" s="8"/>
      <c r="N655" s="8"/>
    </row>
    <row r="656" spans="11:14" ht="15.75" customHeight="1" x14ac:dyDescent="0.3">
      <c r="K656" s="8"/>
      <c r="L656" s="8"/>
      <c r="M656" s="8"/>
      <c r="N656" s="8"/>
    </row>
    <row r="657" spans="11:14" ht="15.75" customHeight="1" x14ac:dyDescent="0.3">
      <c r="K657" s="8"/>
      <c r="L657" s="8"/>
      <c r="M657" s="8"/>
      <c r="N657" s="8"/>
    </row>
    <row r="658" spans="11:14" ht="15.75" customHeight="1" x14ac:dyDescent="0.3">
      <c r="K658" s="8"/>
      <c r="L658" s="8"/>
      <c r="M658" s="8"/>
      <c r="N658" s="8"/>
    </row>
    <row r="659" spans="11:14" ht="15.75" customHeight="1" x14ac:dyDescent="0.3">
      <c r="K659" s="8"/>
      <c r="L659" s="8"/>
      <c r="M659" s="8"/>
      <c r="N659" s="8"/>
    </row>
    <row r="660" spans="11:14" ht="15.75" customHeight="1" x14ac:dyDescent="0.3">
      <c r="K660" s="8"/>
      <c r="L660" s="8"/>
      <c r="M660" s="8"/>
      <c r="N660" s="8"/>
    </row>
    <row r="661" spans="11:14" ht="15.75" customHeight="1" x14ac:dyDescent="0.3">
      <c r="K661" s="8"/>
      <c r="L661" s="8"/>
      <c r="M661" s="8"/>
      <c r="N661" s="8"/>
    </row>
    <row r="662" spans="11:14" ht="15.75" customHeight="1" x14ac:dyDescent="0.3">
      <c r="K662" s="8"/>
      <c r="L662" s="8"/>
      <c r="M662" s="8"/>
      <c r="N662" s="8"/>
    </row>
    <row r="663" spans="11:14" ht="15.75" customHeight="1" x14ac:dyDescent="0.3">
      <c r="K663" s="8"/>
      <c r="L663" s="8"/>
      <c r="M663" s="8"/>
      <c r="N663" s="8"/>
    </row>
    <row r="664" spans="11:14" ht="15.75" customHeight="1" x14ac:dyDescent="0.3">
      <c r="K664" s="8"/>
      <c r="L664" s="8"/>
      <c r="M664" s="8"/>
      <c r="N664" s="8"/>
    </row>
    <row r="665" spans="11:14" ht="15.75" customHeight="1" x14ac:dyDescent="0.3">
      <c r="K665" s="8"/>
      <c r="L665" s="8"/>
      <c r="M665" s="8"/>
      <c r="N665" s="8"/>
    </row>
    <row r="666" spans="11:14" ht="15.75" customHeight="1" x14ac:dyDescent="0.3">
      <c r="K666" s="8"/>
      <c r="L666" s="8"/>
      <c r="M666" s="8"/>
      <c r="N666" s="8"/>
    </row>
    <row r="667" spans="11:14" ht="15.75" customHeight="1" x14ac:dyDescent="0.3">
      <c r="K667" s="8"/>
      <c r="L667" s="8"/>
      <c r="M667" s="8"/>
      <c r="N667" s="8"/>
    </row>
    <row r="668" spans="11:14" ht="15.75" customHeight="1" x14ac:dyDescent="0.3">
      <c r="K668" s="8"/>
      <c r="L668" s="8"/>
      <c r="M668" s="8"/>
      <c r="N668" s="8"/>
    </row>
    <row r="669" spans="11:14" ht="15.75" customHeight="1" x14ac:dyDescent="0.3">
      <c r="K669" s="8"/>
      <c r="L669" s="8"/>
      <c r="M669" s="8"/>
      <c r="N669" s="8"/>
    </row>
    <row r="670" spans="11:14" ht="15.75" customHeight="1" x14ac:dyDescent="0.3">
      <c r="K670" s="8"/>
      <c r="L670" s="8"/>
      <c r="M670" s="8"/>
      <c r="N670" s="8"/>
    </row>
    <row r="671" spans="11:14" ht="15.75" customHeight="1" x14ac:dyDescent="0.3">
      <c r="K671" s="8"/>
      <c r="L671" s="8"/>
      <c r="M671" s="8"/>
      <c r="N671" s="8"/>
    </row>
    <row r="672" spans="11:14" ht="15.75" customHeight="1" x14ac:dyDescent="0.3">
      <c r="K672" s="8"/>
      <c r="L672" s="8"/>
      <c r="M672" s="8"/>
      <c r="N672" s="8"/>
    </row>
    <row r="673" spans="11:14" ht="15.75" customHeight="1" x14ac:dyDescent="0.3">
      <c r="K673" s="8"/>
      <c r="L673" s="8"/>
      <c r="M673" s="8"/>
      <c r="N673" s="8"/>
    </row>
    <row r="674" spans="11:14" ht="15.75" customHeight="1" x14ac:dyDescent="0.3">
      <c r="K674" s="8"/>
      <c r="L674" s="8"/>
      <c r="M674" s="8"/>
      <c r="N674" s="8"/>
    </row>
    <row r="675" spans="11:14" ht="15.75" customHeight="1" x14ac:dyDescent="0.3">
      <c r="K675" s="8"/>
      <c r="L675" s="8"/>
      <c r="M675" s="8"/>
      <c r="N675" s="8"/>
    </row>
    <row r="676" spans="11:14" ht="15.75" customHeight="1" x14ac:dyDescent="0.3">
      <c r="K676" s="8"/>
      <c r="L676" s="8"/>
      <c r="M676" s="8"/>
      <c r="N676" s="8"/>
    </row>
    <row r="677" spans="11:14" ht="15.75" customHeight="1" x14ac:dyDescent="0.3">
      <c r="K677" s="8"/>
      <c r="L677" s="8"/>
      <c r="M677" s="8"/>
      <c r="N677" s="8"/>
    </row>
    <row r="678" spans="11:14" ht="15.75" customHeight="1" x14ac:dyDescent="0.3">
      <c r="K678" s="8"/>
      <c r="L678" s="8"/>
      <c r="M678" s="8"/>
      <c r="N678" s="8"/>
    </row>
    <row r="679" spans="11:14" ht="15.75" customHeight="1" x14ac:dyDescent="0.3">
      <c r="K679" s="8"/>
      <c r="L679" s="8"/>
      <c r="M679" s="8"/>
      <c r="N679" s="8"/>
    </row>
    <row r="680" spans="11:14" ht="15.75" customHeight="1" x14ac:dyDescent="0.3">
      <c r="K680" s="8"/>
      <c r="L680" s="8"/>
      <c r="M680" s="8"/>
      <c r="N680" s="8"/>
    </row>
    <row r="681" spans="11:14" ht="15.75" customHeight="1" x14ac:dyDescent="0.3">
      <c r="K681" s="8"/>
      <c r="L681" s="8"/>
      <c r="M681" s="8"/>
      <c r="N681" s="8"/>
    </row>
    <row r="682" spans="11:14" ht="15.75" customHeight="1" x14ac:dyDescent="0.3">
      <c r="K682" s="8"/>
      <c r="L682" s="8"/>
      <c r="M682" s="8"/>
      <c r="N682" s="8"/>
    </row>
    <row r="683" spans="11:14" ht="15.75" customHeight="1" x14ac:dyDescent="0.3">
      <c r="K683" s="8"/>
      <c r="L683" s="8"/>
      <c r="M683" s="8"/>
      <c r="N683" s="8"/>
    </row>
    <row r="684" spans="11:14" ht="15.75" customHeight="1" x14ac:dyDescent="0.3">
      <c r="K684" s="8"/>
      <c r="L684" s="8"/>
      <c r="M684" s="8"/>
      <c r="N684" s="8"/>
    </row>
    <row r="685" spans="11:14" ht="15.75" customHeight="1" x14ac:dyDescent="0.3">
      <c r="K685" s="8"/>
      <c r="L685" s="8"/>
      <c r="M685" s="8"/>
      <c r="N685" s="8"/>
    </row>
    <row r="686" spans="11:14" ht="15.75" customHeight="1" x14ac:dyDescent="0.3">
      <c r="K686" s="8"/>
      <c r="L686" s="8"/>
      <c r="M686" s="8"/>
      <c r="N686" s="8"/>
    </row>
    <row r="687" spans="11:14" ht="15.75" customHeight="1" x14ac:dyDescent="0.3">
      <c r="K687" s="8"/>
      <c r="L687" s="8"/>
      <c r="M687" s="8"/>
      <c r="N687" s="8"/>
    </row>
    <row r="688" spans="11:14" ht="15.75" customHeight="1" x14ac:dyDescent="0.3">
      <c r="K688" s="8"/>
      <c r="L688" s="8"/>
      <c r="M688" s="8"/>
      <c r="N688" s="8"/>
    </row>
    <row r="689" spans="11:14" ht="15.75" customHeight="1" x14ac:dyDescent="0.3">
      <c r="K689" s="8"/>
      <c r="L689" s="8"/>
      <c r="M689" s="8"/>
      <c r="N689" s="8"/>
    </row>
    <row r="690" spans="11:14" ht="15.75" customHeight="1" x14ac:dyDescent="0.3">
      <c r="K690" s="8"/>
      <c r="L690" s="8"/>
      <c r="M690" s="8"/>
      <c r="N690" s="8"/>
    </row>
    <row r="691" spans="11:14" ht="15.75" customHeight="1" x14ac:dyDescent="0.3">
      <c r="K691" s="8"/>
      <c r="L691" s="8"/>
      <c r="M691" s="8"/>
      <c r="N691" s="8"/>
    </row>
    <row r="692" spans="11:14" ht="15.75" customHeight="1" x14ac:dyDescent="0.3">
      <c r="K692" s="8"/>
      <c r="L692" s="8"/>
      <c r="M692" s="8"/>
      <c r="N692" s="8"/>
    </row>
    <row r="693" spans="11:14" ht="15.75" customHeight="1" x14ac:dyDescent="0.3">
      <c r="K693" s="8"/>
      <c r="L693" s="8"/>
      <c r="M693" s="8"/>
      <c r="N693" s="8"/>
    </row>
    <row r="694" spans="11:14" ht="15.75" customHeight="1" x14ac:dyDescent="0.3">
      <c r="K694" s="8"/>
      <c r="L694" s="8"/>
      <c r="M694" s="8"/>
      <c r="N694" s="8"/>
    </row>
    <row r="695" spans="11:14" ht="15.75" customHeight="1" x14ac:dyDescent="0.3">
      <c r="K695" s="8"/>
      <c r="L695" s="8"/>
      <c r="M695" s="8"/>
      <c r="N695" s="8"/>
    </row>
    <row r="696" spans="11:14" ht="15.75" customHeight="1" x14ac:dyDescent="0.3">
      <c r="K696" s="8"/>
      <c r="L696" s="8"/>
      <c r="M696" s="8"/>
      <c r="N696" s="8"/>
    </row>
    <row r="697" spans="11:14" ht="15.75" customHeight="1" x14ac:dyDescent="0.3">
      <c r="K697" s="8"/>
      <c r="L697" s="8"/>
      <c r="M697" s="8"/>
      <c r="N697" s="8"/>
    </row>
    <row r="698" spans="11:14" ht="15.75" customHeight="1" x14ac:dyDescent="0.3">
      <c r="K698" s="8"/>
      <c r="L698" s="8"/>
      <c r="M698" s="8"/>
      <c r="N698" s="8"/>
    </row>
    <row r="699" spans="11:14" ht="15.75" customHeight="1" x14ac:dyDescent="0.3">
      <c r="K699" s="8"/>
      <c r="L699" s="8"/>
      <c r="M699" s="8"/>
      <c r="N699" s="8"/>
    </row>
    <row r="700" spans="11:14" ht="15.75" customHeight="1" x14ac:dyDescent="0.3">
      <c r="K700" s="8"/>
      <c r="L700" s="8"/>
      <c r="M700" s="8"/>
      <c r="N700" s="8"/>
    </row>
    <row r="701" spans="11:14" ht="15.75" customHeight="1" x14ac:dyDescent="0.3">
      <c r="K701" s="8"/>
      <c r="L701" s="8"/>
      <c r="M701" s="8"/>
      <c r="N701" s="8"/>
    </row>
    <row r="702" spans="11:14" ht="15.75" customHeight="1" x14ac:dyDescent="0.3">
      <c r="K702" s="8"/>
      <c r="L702" s="8"/>
      <c r="M702" s="8"/>
      <c r="N702" s="8"/>
    </row>
    <row r="703" spans="11:14" ht="15.75" customHeight="1" x14ac:dyDescent="0.3">
      <c r="K703" s="8"/>
      <c r="L703" s="8"/>
      <c r="M703" s="8"/>
      <c r="N703" s="8"/>
    </row>
    <row r="704" spans="11:14" ht="15.75" customHeight="1" x14ac:dyDescent="0.3">
      <c r="K704" s="8"/>
      <c r="L704" s="8"/>
      <c r="M704" s="8"/>
      <c r="N704" s="8"/>
    </row>
    <row r="705" spans="11:14" ht="15.75" customHeight="1" x14ac:dyDescent="0.3">
      <c r="K705" s="8"/>
      <c r="L705" s="8"/>
      <c r="M705" s="8"/>
      <c r="N705" s="8"/>
    </row>
    <row r="706" spans="11:14" ht="15.75" customHeight="1" x14ac:dyDescent="0.3">
      <c r="K706" s="8"/>
      <c r="L706" s="8"/>
      <c r="M706" s="8"/>
      <c r="N706" s="8"/>
    </row>
    <row r="707" spans="11:14" ht="15.75" customHeight="1" x14ac:dyDescent="0.3">
      <c r="K707" s="8"/>
      <c r="L707" s="8"/>
      <c r="M707" s="8"/>
      <c r="N707" s="8"/>
    </row>
    <row r="708" spans="11:14" ht="15.75" customHeight="1" x14ac:dyDescent="0.3">
      <c r="K708" s="8"/>
      <c r="L708" s="8"/>
      <c r="M708" s="8"/>
      <c r="N708" s="8"/>
    </row>
    <row r="709" spans="11:14" ht="15.75" customHeight="1" x14ac:dyDescent="0.3">
      <c r="K709" s="8"/>
      <c r="L709" s="8"/>
      <c r="M709" s="8"/>
      <c r="N709" s="8"/>
    </row>
    <row r="710" spans="11:14" ht="15.75" customHeight="1" x14ac:dyDescent="0.3">
      <c r="K710" s="8"/>
      <c r="L710" s="8"/>
      <c r="M710" s="8"/>
      <c r="N710" s="8"/>
    </row>
    <row r="711" spans="11:14" ht="15.75" customHeight="1" x14ac:dyDescent="0.3">
      <c r="K711" s="8"/>
      <c r="L711" s="8"/>
      <c r="M711" s="8"/>
      <c r="N711" s="8"/>
    </row>
    <row r="712" spans="11:14" ht="15.75" customHeight="1" x14ac:dyDescent="0.3">
      <c r="K712" s="8"/>
      <c r="L712" s="8"/>
      <c r="M712" s="8"/>
      <c r="N712" s="8"/>
    </row>
    <row r="713" spans="11:14" ht="15.75" customHeight="1" x14ac:dyDescent="0.3">
      <c r="K713" s="8"/>
      <c r="L713" s="8"/>
      <c r="M713" s="8"/>
      <c r="N713" s="8"/>
    </row>
    <row r="714" spans="11:14" ht="15.75" customHeight="1" x14ac:dyDescent="0.3">
      <c r="K714" s="8"/>
      <c r="L714" s="8"/>
      <c r="M714" s="8"/>
      <c r="N714" s="8"/>
    </row>
    <row r="715" spans="11:14" ht="15.75" customHeight="1" x14ac:dyDescent="0.3">
      <c r="K715" s="8"/>
      <c r="L715" s="8"/>
      <c r="M715" s="8"/>
      <c r="N715" s="8"/>
    </row>
    <row r="716" spans="11:14" ht="15.75" customHeight="1" x14ac:dyDescent="0.3">
      <c r="K716" s="8"/>
      <c r="L716" s="8"/>
      <c r="M716" s="8"/>
      <c r="N716" s="8"/>
    </row>
    <row r="717" spans="11:14" ht="15.75" customHeight="1" x14ac:dyDescent="0.3">
      <c r="K717" s="8"/>
      <c r="L717" s="8"/>
      <c r="M717" s="8"/>
      <c r="N717" s="8"/>
    </row>
    <row r="718" spans="11:14" ht="15.75" customHeight="1" x14ac:dyDescent="0.3">
      <c r="K718" s="8"/>
      <c r="L718" s="8"/>
      <c r="M718" s="8"/>
      <c r="N718" s="8"/>
    </row>
    <row r="719" spans="11:14" ht="15.75" customHeight="1" x14ac:dyDescent="0.3">
      <c r="K719" s="8"/>
      <c r="L719" s="8"/>
      <c r="M719" s="8"/>
      <c r="N719" s="8"/>
    </row>
    <row r="720" spans="11:14" ht="15.75" customHeight="1" x14ac:dyDescent="0.3">
      <c r="K720" s="8"/>
      <c r="L720" s="8"/>
      <c r="M720" s="8"/>
      <c r="N720" s="8"/>
    </row>
    <row r="721" spans="11:14" ht="15.75" customHeight="1" x14ac:dyDescent="0.3">
      <c r="K721" s="8"/>
      <c r="L721" s="8"/>
      <c r="M721" s="8"/>
      <c r="N721" s="8"/>
    </row>
    <row r="722" spans="11:14" ht="15.75" customHeight="1" x14ac:dyDescent="0.3">
      <c r="K722" s="8"/>
      <c r="L722" s="8"/>
      <c r="M722" s="8"/>
      <c r="N722" s="8"/>
    </row>
    <row r="723" spans="11:14" ht="15.75" customHeight="1" x14ac:dyDescent="0.3">
      <c r="K723" s="8"/>
      <c r="L723" s="8"/>
      <c r="M723" s="8"/>
      <c r="N723" s="8"/>
    </row>
    <row r="724" spans="11:14" ht="15.75" customHeight="1" x14ac:dyDescent="0.3">
      <c r="K724" s="8"/>
      <c r="L724" s="8"/>
      <c r="M724" s="8"/>
      <c r="N724" s="8"/>
    </row>
    <row r="725" spans="11:14" ht="15.75" customHeight="1" x14ac:dyDescent="0.3">
      <c r="K725" s="8"/>
      <c r="L725" s="8"/>
      <c r="M725" s="8"/>
      <c r="N725" s="8"/>
    </row>
    <row r="726" spans="11:14" ht="15.75" customHeight="1" x14ac:dyDescent="0.3">
      <c r="K726" s="8"/>
      <c r="L726" s="8"/>
      <c r="M726" s="8"/>
      <c r="N726" s="8"/>
    </row>
    <row r="727" spans="11:14" ht="15.75" customHeight="1" x14ac:dyDescent="0.3">
      <c r="K727" s="8"/>
      <c r="L727" s="8"/>
      <c r="M727" s="8"/>
      <c r="N727" s="8"/>
    </row>
    <row r="728" spans="11:14" ht="15.75" customHeight="1" x14ac:dyDescent="0.3">
      <c r="K728" s="8"/>
      <c r="L728" s="8"/>
      <c r="M728" s="8"/>
      <c r="N728" s="8"/>
    </row>
    <row r="729" spans="11:14" ht="15.75" customHeight="1" x14ac:dyDescent="0.3">
      <c r="K729" s="8"/>
      <c r="L729" s="8"/>
      <c r="M729" s="8"/>
      <c r="N729" s="8"/>
    </row>
    <row r="730" spans="11:14" ht="15.75" customHeight="1" x14ac:dyDescent="0.3">
      <c r="K730" s="8"/>
      <c r="L730" s="8"/>
      <c r="M730" s="8"/>
      <c r="N730" s="8"/>
    </row>
    <row r="731" spans="11:14" ht="15.75" customHeight="1" x14ac:dyDescent="0.3">
      <c r="K731" s="8"/>
      <c r="L731" s="8"/>
      <c r="M731" s="8"/>
      <c r="N731" s="8"/>
    </row>
    <row r="732" spans="11:14" ht="15.75" customHeight="1" x14ac:dyDescent="0.3">
      <c r="K732" s="8"/>
      <c r="L732" s="8"/>
      <c r="M732" s="8"/>
      <c r="N732" s="8"/>
    </row>
    <row r="733" spans="11:14" ht="15.75" customHeight="1" x14ac:dyDescent="0.3">
      <c r="K733" s="8"/>
      <c r="L733" s="8"/>
      <c r="M733" s="8"/>
      <c r="N733" s="8"/>
    </row>
    <row r="734" spans="11:14" ht="15.75" customHeight="1" x14ac:dyDescent="0.3">
      <c r="K734" s="8"/>
      <c r="L734" s="8"/>
      <c r="M734" s="8"/>
      <c r="N734" s="8"/>
    </row>
    <row r="735" spans="11:14" ht="15.75" customHeight="1" x14ac:dyDescent="0.3">
      <c r="K735" s="8"/>
      <c r="L735" s="8"/>
      <c r="M735" s="8"/>
      <c r="N735" s="8"/>
    </row>
    <row r="736" spans="11:14" ht="15.75" customHeight="1" x14ac:dyDescent="0.3">
      <c r="K736" s="8"/>
      <c r="L736" s="8"/>
      <c r="M736" s="8"/>
      <c r="N736" s="8"/>
    </row>
    <row r="737" spans="11:14" ht="15.75" customHeight="1" x14ac:dyDescent="0.3">
      <c r="K737" s="8"/>
      <c r="L737" s="8"/>
      <c r="M737" s="8"/>
      <c r="N737" s="8"/>
    </row>
    <row r="738" spans="11:14" ht="15.75" customHeight="1" x14ac:dyDescent="0.3">
      <c r="K738" s="8"/>
      <c r="L738" s="8"/>
      <c r="M738" s="8"/>
      <c r="N738" s="8"/>
    </row>
    <row r="739" spans="11:14" ht="15.75" customHeight="1" x14ac:dyDescent="0.3">
      <c r="K739" s="8"/>
      <c r="L739" s="8"/>
      <c r="M739" s="8"/>
      <c r="N739" s="8"/>
    </row>
    <row r="740" spans="11:14" ht="15.75" customHeight="1" x14ac:dyDescent="0.3">
      <c r="K740" s="8"/>
      <c r="L740" s="8"/>
      <c r="M740" s="8"/>
      <c r="N740" s="8"/>
    </row>
    <row r="741" spans="11:14" ht="15.75" customHeight="1" x14ac:dyDescent="0.3">
      <c r="K741" s="8"/>
      <c r="L741" s="8"/>
      <c r="M741" s="8"/>
      <c r="N741" s="8"/>
    </row>
    <row r="742" spans="11:14" ht="15.75" customHeight="1" x14ac:dyDescent="0.3">
      <c r="K742" s="8"/>
      <c r="L742" s="8"/>
      <c r="M742" s="8"/>
      <c r="N742" s="8"/>
    </row>
    <row r="743" spans="11:14" ht="15.75" customHeight="1" x14ac:dyDescent="0.3">
      <c r="K743" s="8"/>
      <c r="L743" s="8"/>
      <c r="M743" s="8"/>
      <c r="N743" s="8"/>
    </row>
    <row r="744" spans="11:14" ht="15.75" customHeight="1" x14ac:dyDescent="0.3">
      <c r="K744" s="8"/>
      <c r="L744" s="8"/>
      <c r="M744" s="8"/>
      <c r="N744" s="8"/>
    </row>
    <row r="745" spans="11:14" ht="15.75" customHeight="1" x14ac:dyDescent="0.3">
      <c r="K745" s="8"/>
      <c r="L745" s="8"/>
      <c r="M745" s="8"/>
      <c r="N745" s="8"/>
    </row>
    <row r="746" spans="11:14" ht="15.75" customHeight="1" x14ac:dyDescent="0.3">
      <c r="K746" s="8"/>
      <c r="L746" s="8"/>
      <c r="M746" s="8"/>
      <c r="N746" s="8"/>
    </row>
    <row r="747" spans="11:14" ht="15.75" customHeight="1" x14ac:dyDescent="0.3">
      <c r="K747" s="8"/>
      <c r="L747" s="8"/>
      <c r="M747" s="8"/>
      <c r="N747" s="8"/>
    </row>
    <row r="748" spans="11:14" ht="15.75" customHeight="1" x14ac:dyDescent="0.3">
      <c r="K748" s="8"/>
      <c r="L748" s="8"/>
      <c r="M748" s="8"/>
      <c r="N748" s="8"/>
    </row>
    <row r="749" spans="11:14" ht="15.75" customHeight="1" x14ac:dyDescent="0.3">
      <c r="K749" s="8"/>
      <c r="L749" s="8"/>
      <c r="M749" s="8"/>
      <c r="N749" s="8"/>
    </row>
    <row r="750" spans="11:14" ht="15.75" customHeight="1" x14ac:dyDescent="0.3">
      <c r="K750" s="8"/>
      <c r="L750" s="8"/>
      <c r="M750" s="8"/>
      <c r="N750" s="8"/>
    </row>
    <row r="751" spans="11:14" ht="15.75" customHeight="1" x14ac:dyDescent="0.3">
      <c r="K751" s="8"/>
      <c r="L751" s="8"/>
      <c r="M751" s="8"/>
      <c r="N751" s="8"/>
    </row>
    <row r="752" spans="11:14" ht="15.75" customHeight="1" x14ac:dyDescent="0.3">
      <c r="K752" s="8"/>
      <c r="L752" s="8"/>
      <c r="M752" s="8"/>
      <c r="N752" s="8"/>
    </row>
    <row r="753" spans="11:14" ht="15.75" customHeight="1" x14ac:dyDescent="0.3">
      <c r="K753" s="8"/>
      <c r="L753" s="8"/>
      <c r="M753" s="8"/>
      <c r="N753" s="8"/>
    </row>
    <row r="754" spans="11:14" ht="15.75" customHeight="1" x14ac:dyDescent="0.3">
      <c r="K754" s="8"/>
      <c r="L754" s="8"/>
      <c r="M754" s="8"/>
      <c r="N754" s="8"/>
    </row>
    <row r="755" spans="11:14" ht="15.75" customHeight="1" x14ac:dyDescent="0.3">
      <c r="K755" s="8"/>
      <c r="L755" s="8"/>
      <c r="M755" s="8"/>
      <c r="N755" s="8"/>
    </row>
    <row r="756" spans="11:14" ht="15.75" customHeight="1" x14ac:dyDescent="0.3">
      <c r="K756" s="8"/>
      <c r="L756" s="8"/>
      <c r="M756" s="8"/>
      <c r="N756" s="8"/>
    </row>
    <row r="757" spans="11:14" ht="15.75" customHeight="1" x14ac:dyDescent="0.3">
      <c r="K757" s="8"/>
      <c r="L757" s="8"/>
      <c r="M757" s="8"/>
      <c r="N757" s="8"/>
    </row>
    <row r="758" spans="11:14" ht="15.75" customHeight="1" x14ac:dyDescent="0.3">
      <c r="K758" s="8"/>
      <c r="L758" s="8"/>
      <c r="M758" s="8"/>
      <c r="N758" s="8"/>
    </row>
    <row r="759" spans="11:14" ht="15.75" customHeight="1" x14ac:dyDescent="0.3">
      <c r="K759" s="8"/>
      <c r="L759" s="8"/>
      <c r="M759" s="8"/>
      <c r="N759" s="8"/>
    </row>
    <row r="760" spans="11:14" ht="15.75" customHeight="1" x14ac:dyDescent="0.3">
      <c r="K760" s="8"/>
      <c r="L760" s="8"/>
      <c r="M760" s="8"/>
      <c r="N760" s="8"/>
    </row>
    <row r="761" spans="11:14" ht="15.75" customHeight="1" x14ac:dyDescent="0.3">
      <c r="K761" s="8"/>
      <c r="L761" s="8"/>
      <c r="M761" s="8"/>
      <c r="N761" s="8"/>
    </row>
    <row r="762" spans="11:14" ht="15.75" customHeight="1" x14ac:dyDescent="0.3">
      <c r="K762" s="8"/>
      <c r="L762" s="8"/>
      <c r="M762" s="8"/>
      <c r="N762" s="8"/>
    </row>
    <row r="763" spans="11:14" ht="15.75" customHeight="1" x14ac:dyDescent="0.3">
      <c r="K763" s="8"/>
      <c r="L763" s="8"/>
      <c r="M763" s="8"/>
      <c r="N763" s="8"/>
    </row>
    <row r="764" spans="11:14" ht="15.75" customHeight="1" x14ac:dyDescent="0.3">
      <c r="K764" s="8"/>
      <c r="L764" s="8"/>
      <c r="M764" s="8"/>
      <c r="N764" s="8"/>
    </row>
    <row r="765" spans="11:14" ht="15.75" customHeight="1" x14ac:dyDescent="0.3">
      <c r="K765" s="8"/>
      <c r="L765" s="8"/>
      <c r="M765" s="8"/>
      <c r="N765" s="8"/>
    </row>
    <row r="766" spans="11:14" ht="15.75" customHeight="1" x14ac:dyDescent="0.3">
      <c r="K766" s="8"/>
      <c r="L766" s="8"/>
      <c r="M766" s="8"/>
      <c r="N766" s="8"/>
    </row>
    <row r="767" spans="11:14" ht="15.75" customHeight="1" x14ac:dyDescent="0.3">
      <c r="K767" s="8"/>
      <c r="L767" s="8"/>
      <c r="M767" s="8"/>
      <c r="N767" s="8"/>
    </row>
    <row r="768" spans="11:14" ht="15.75" customHeight="1" x14ac:dyDescent="0.3">
      <c r="K768" s="8"/>
      <c r="L768" s="8"/>
      <c r="M768" s="8"/>
      <c r="N768" s="8"/>
    </row>
    <row r="769" spans="11:14" ht="15.75" customHeight="1" x14ac:dyDescent="0.3">
      <c r="K769" s="8"/>
      <c r="L769" s="8"/>
      <c r="M769" s="8"/>
      <c r="N769" s="8"/>
    </row>
    <row r="770" spans="11:14" ht="15.75" customHeight="1" x14ac:dyDescent="0.3">
      <c r="K770" s="8"/>
      <c r="L770" s="8"/>
      <c r="M770" s="8"/>
      <c r="N770" s="8"/>
    </row>
    <row r="771" spans="11:14" ht="15.75" customHeight="1" x14ac:dyDescent="0.3">
      <c r="K771" s="8"/>
      <c r="L771" s="8"/>
      <c r="M771" s="8"/>
      <c r="N771" s="8"/>
    </row>
    <row r="772" spans="11:14" ht="15.75" customHeight="1" x14ac:dyDescent="0.3">
      <c r="K772" s="8"/>
      <c r="L772" s="8"/>
      <c r="M772" s="8"/>
      <c r="N772" s="8"/>
    </row>
    <row r="773" spans="11:14" ht="15.75" customHeight="1" x14ac:dyDescent="0.3">
      <c r="K773" s="8"/>
      <c r="L773" s="8"/>
      <c r="M773" s="8"/>
      <c r="N773" s="8"/>
    </row>
    <row r="774" spans="11:14" ht="15.75" customHeight="1" x14ac:dyDescent="0.3">
      <c r="K774" s="8"/>
      <c r="L774" s="8"/>
      <c r="M774" s="8"/>
      <c r="N774" s="8"/>
    </row>
    <row r="775" spans="11:14" ht="15.75" customHeight="1" x14ac:dyDescent="0.3">
      <c r="K775" s="8"/>
      <c r="L775" s="8"/>
      <c r="M775" s="8"/>
      <c r="N775" s="8"/>
    </row>
    <row r="776" spans="11:14" ht="15.75" customHeight="1" x14ac:dyDescent="0.3">
      <c r="K776" s="8"/>
      <c r="L776" s="8"/>
      <c r="M776" s="8"/>
      <c r="N776" s="8"/>
    </row>
    <row r="777" spans="11:14" ht="15.75" customHeight="1" x14ac:dyDescent="0.3">
      <c r="K777" s="8"/>
      <c r="L777" s="8"/>
      <c r="M777" s="8"/>
      <c r="N777" s="8"/>
    </row>
    <row r="778" spans="11:14" ht="15.75" customHeight="1" x14ac:dyDescent="0.3">
      <c r="K778" s="8"/>
      <c r="L778" s="8"/>
      <c r="M778" s="8"/>
      <c r="N778" s="8"/>
    </row>
    <row r="779" spans="11:14" ht="15.75" customHeight="1" x14ac:dyDescent="0.3">
      <c r="K779" s="8"/>
      <c r="L779" s="8"/>
      <c r="M779" s="8"/>
      <c r="N779" s="8"/>
    </row>
    <row r="780" spans="11:14" ht="15.75" customHeight="1" x14ac:dyDescent="0.3">
      <c r="K780" s="8"/>
      <c r="L780" s="8"/>
      <c r="M780" s="8"/>
      <c r="N780" s="8"/>
    </row>
    <row r="781" spans="11:14" ht="15.75" customHeight="1" x14ac:dyDescent="0.3">
      <c r="K781" s="8"/>
      <c r="L781" s="8"/>
      <c r="M781" s="8"/>
      <c r="N781" s="8"/>
    </row>
    <row r="782" spans="11:14" ht="15.75" customHeight="1" x14ac:dyDescent="0.3">
      <c r="K782" s="8"/>
      <c r="L782" s="8"/>
      <c r="M782" s="8"/>
      <c r="N782" s="8"/>
    </row>
    <row r="783" spans="11:14" ht="15.75" customHeight="1" x14ac:dyDescent="0.3">
      <c r="K783" s="8"/>
      <c r="L783" s="8"/>
      <c r="M783" s="8"/>
      <c r="N783" s="8"/>
    </row>
    <row r="784" spans="11:14" ht="15.75" customHeight="1" x14ac:dyDescent="0.3">
      <c r="K784" s="8"/>
      <c r="L784" s="8"/>
      <c r="M784" s="8"/>
      <c r="N784" s="8"/>
    </row>
    <row r="785" spans="11:14" ht="15.75" customHeight="1" x14ac:dyDescent="0.3">
      <c r="K785" s="8"/>
      <c r="L785" s="8"/>
      <c r="M785" s="8"/>
      <c r="N785" s="8"/>
    </row>
    <row r="786" spans="11:14" ht="15.75" customHeight="1" x14ac:dyDescent="0.3">
      <c r="K786" s="8"/>
      <c r="L786" s="8"/>
      <c r="M786" s="8"/>
      <c r="N786" s="8"/>
    </row>
    <row r="787" spans="11:14" ht="15.75" customHeight="1" x14ac:dyDescent="0.3">
      <c r="K787" s="8"/>
      <c r="L787" s="8"/>
      <c r="M787" s="8"/>
      <c r="N787" s="8"/>
    </row>
    <row r="788" spans="11:14" ht="15.75" customHeight="1" x14ac:dyDescent="0.3">
      <c r="K788" s="8"/>
      <c r="L788" s="8"/>
      <c r="M788" s="8"/>
      <c r="N788" s="8"/>
    </row>
    <row r="789" spans="11:14" ht="15.75" customHeight="1" x14ac:dyDescent="0.3">
      <c r="K789" s="8"/>
      <c r="L789" s="8"/>
      <c r="M789" s="8"/>
      <c r="N789" s="8"/>
    </row>
    <row r="790" spans="11:14" ht="15.75" customHeight="1" x14ac:dyDescent="0.3">
      <c r="K790" s="8"/>
      <c r="L790" s="8"/>
      <c r="M790" s="8"/>
      <c r="N790" s="8"/>
    </row>
    <row r="791" spans="11:14" ht="15.75" customHeight="1" x14ac:dyDescent="0.3">
      <c r="K791" s="8"/>
      <c r="L791" s="8"/>
      <c r="M791" s="8"/>
      <c r="N791" s="8"/>
    </row>
    <row r="792" spans="11:14" ht="15.75" customHeight="1" x14ac:dyDescent="0.3">
      <c r="K792" s="8"/>
      <c r="L792" s="8"/>
      <c r="M792" s="8"/>
      <c r="N792" s="8"/>
    </row>
    <row r="793" spans="11:14" ht="15.75" customHeight="1" x14ac:dyDescent="0.3">
      <c r="K793" s="8"/>
      <c r="L793" s="8"/>
      <c r="M793" s="8"/>
      <c r="N793" s="8"/>
    </row>
    <row r="794" spans="11:14" ht="15.75" customHeight="1" x14ac:dyDescent="0.3">
      <c r="K794" s="8"/>
      <c r="L794" s="8"/>
      <c r="M794" s="8"/>
      <c r="N794" s="8"/>
    </row>
    <row r="795" spans="11:14" ht="15.75" customHeight="1" x14ac:dyDescent="0.3">
      <c r="K795" s="8"/>
      <c r="L795" s="8"/>
      <c r="M795" s="8"/>
      <c r="N795" s="8"/>
    </row>
    <row r="796" spans="11:14" ht="15.75" customHeight="1" x14ac:dyDescent="0.3">
      <c r="K796" s="8"/>
      <c r="L796" s="8"/>
      <c r="M796" s="8"/>
      <c r="N796" s="8"/>
    </row>
    <row r="797" spans="11:14" ht="15.75" customHeight="1" x14ac:dyDescent="0.3">
      <c r="K797" s="8"/>
      <c r="L797" s="8"/>
      <c r="M797" s="8"/>
      <c r="N797" s="8"/>
    </row>
    <row r="798" spans="11:14" ht="15.75" customHeight="1" x14ac:dyDescent="0.3">
      <c r="K798" s="8"/>
      <c r="L798" s="8"/>
      <c r="M798" s="8"/>
      <c r="N798" s="8"/>
    </row>
    <row r="799" spans="11:14" ht="15.75" customHeight="1" x14ac:dyDescent="0.3">
      <c r="K799" s="8"/>
      <c r="L799" s="8"/>
      <c r="M799" s="8"/>
      <c r="N799" s="8"/>
    </row>
    <row r="800" spans="11:14" ht="15.75" customHeight="1" x14ac:dyDescent="0.3">
      <c r="K800" s="8"/>
      <c r="L800" s="8"/>
      <c r="M800" s="8"/>
      <c r="N800" s="8"/>
    </row>
    <row r="801" spans="11:14" ht="15.75" customHeight="1" x14ac:dyDescent="0.3">
      <c r="K801" s="8"/>
      <c r="L801" s="8"/>
      <c r="M801" s="8"/>
      <c r="N801" s="8"/>
    </row>
    <row r="802" spans="11:14" ht="15.75" customHeight="1" x14ac:dyDescent="0.3">
      <c r="K802" s="8"/>
      <c r="L802" s="8"/>
      <c r="M802" s="8"/>
      <c r="N802" s="8"/>
    </row>
    <row r="803" spans="11:14" ht="15.75" customHeight="1" x14ac:dyDescent="0.3">
      <c r="K803" s="8"/>
      <c r="L803" s="8"/>
      <c r="M803" s="8"/>
      <c r="N803" s="8"/>
    </row>
    <row r="804" spans="11:14" ht="15.75" customHeight="1" x14ac:dyDescent="0.3">
      <c r="K804" s="8"/>
      <c r="L804" s="8"/>
      <c r="M804" s="8"/>
      <c r="N804" s="8"/>
    </row>
    <row r="805" spans="11:14" ht="15.75" customHeight="1" x14ac:dyDescent="0.3">
      <c r="K805" s="8"/>
      <c r="L805" s="8"/>
      <c r="M805" s="8"/>
      <c r="N805" s="8"/>
    </row>
    <row r="806" spans="11:14" ht="15.75" customHeight="1" x14ac:dyDescent="0.3">
      <c r="K806" s="8"/>
      <c r="L806" s="8"/>
      <c r="M806" s="8"/>
      <c r="N806" s="8"/>
    </row>
    <row r="807" spans="11:14" ht="15.75" customHeight="1" x14ac:dyDescent="0.3">
      <c r="K807" s="8"/>
      <c r="L807" s="8"/>
      <c r="M807" s="8"/>
      <c r="N807" s="8"/>
    </row>
    <row r="808" spans="11:14" ht="15.75" customHeight="1" x14ac:dyDescent="0.3">
      <c r="K808" s="8"/>
      <c r="L808" s="8"/>
      <c r="M808" s="8"/>
      <c r="N808" s="8"/>
    </row>
    <row r="809" spans="11:14" ht="15.75" customHeight="1" x14ac:dyDescent="0.3">
      <c r="K809" s="8"/>
      <c r="L809" s="8"/>
      <c r="M809" s="8"/>
      <c r="N809" s="8"/>
    </row>
    <row r="810" spans="11:14" ht="15.75" customHeight="1" x14ac:dyDescent="0.3">
      <c r="K810" s="8"/>
      <c r="L810" s="8"/>
      <c r="M810" s="8"/>
      <c r="N810" s="8"/>
    </row>
    <row r="811" spans="11:14" ht="15.75" customHeight="1" x14ac:dyDescent="0.3">
      <c r="K811" s="8"/>
      <c r="L811" s="8"/>
      <c r="M811" s="8"/>
      <c r="N811" s="8"/>
    </row>
    <row r="812" spans="11:14" ht="15.75" customHeight="1" x14ac:dyDescent="0.3">
      <c r="K812" s="8"/>
      <c r="L812" s="8"/>
      <c r="M812" s="8"/>
      <c r="N812" s="8"/>
    </row>
    <row r="813" spans="11:14" ht="15.75" customHeight="1" x14ac:dyDescent="0.3">
      <c r="K813" s="8"/>
      <c r="L813" s="8"/>
      <c r="M813" s="8"/>
      <c r="N813" s="8"/>
    </row>
    <row r="814" spans="11:14" ht="15.75" customHeight="1" x14ac:dyDescent="0.3">
      <c r="K814" s="8"/>
      <c r="L814" s="8"/>
      <c r="M814" s="8"/>
      <c r="N814" s="8"/>
    </row>
    <row r="815" spans="11:14" ht="15.75" customHeight="1" x14ac:dyDescent="0.3">
      <c r="K815" s="8"/>
      <c r="L815" s="8"/>
      <c r="M815" s="8"/>
      <c r="N815" s="8"/>
    </row>
    <row r="816" spans="11:14" ht="15.75" customHeight="1" x14ac:dyDescent="0.3">
      <c r="K816" s="8"/>
      <c r="L816" s="8"/>
      <c r="M816" s="8"/>
      <c r="N816" s="8"/>
    </row>
    <row r="817" spans="11:14" ht="15.75" customHeight="1" x14ac:dyDescent="0.3">
      <c r="K817" s="8"/>
      <c r="L817" s="8"/>
      <c r="M817" s="8"/>
      <c r="N817" s="8"/>
    </row>
    <row r="818" spans="11:14" ht="15.75" customHeight="1" x14ac:dyDescent="0.3">
      <c r="K818" s="8"/>
      <c r="L818" s="8"/>
      <c r="M818" s="8"/>
      <c r="N818" s="8"/>
    </row>
    <row r="819" spans="11:14" ht="15.75" customHeight="1" x14ac:dyDescent="0.3">
      <c r="K819" s="8"/>
      <c r="L819" s="8"/>
      <c r="M819" s="8"/>
      <c r="N819" s="8"/>
    </row>
    <row r="820" spans="11:14" ht="15.75" customHeight="1" x14ac:dyDescent="0.3">
      <c r="K820" s="8"/>
      <c r="L820" s="8"/>
      <c r="M820" s="8"/>
      <c r="N820" s="8"/>
    </row>
    <row r="821" spans="11:14" ht="15.75" customHeight="1" x14ac:dyDescent="0.3">
      <c r="K821" s="8"/>
      <c r="L821" s="8"/>
      <c r="M821" s="8"/>
      <c r="N821" s="8"/>
    </row>
    <row r="822" spans="11:14" ht="15.75" customHeight="1" x14ac:dyDescent="0.3">
      <c r="K822" s="8"/>
      <c r="L822" s="8"/>
      <c r="M822" s="8"/>
      <c r="N822" s="8"/>
    </row>
    <row r="823" spans="11:14" ht="15.75" customHeight="1" x14ac:dyDescent="0.3">
      <c r="K823" s="8"/>
      <c r="L823" s="8"/>
      <c r="M823" s="8"/>
      <c r="N823" s="8"/>
    </row>
    <row r="824" spans="11:14" ht="15.75" customHeight="1" x14ac:dyDescent="0.3">
      <c r="K824" s="8"/>
      <c r="L824" s="8"/>
      <c r="M824" s="8"/>
      <c r="N824" s="8"/>
    </row>
    <row r="825" spans="11:14" ht="15.75" customHeight="1" x14ac:dyDescent="0.3">
      <c r="K825" s="8"/>
      <c r="L825" s="8"/>
      <c r="M825" s="8"/>
      <c r="N825" s="8"/>
    </row>
    <row r="826" spans="11:14" ht="15.75" customHeight="1" x14ac:dyDescent="0.3">
      <c r="K826" s="8"/>
      <c r="L826" s="8"/>
      <c r="M826" s="8"/>
      <c r="N826" s="8"/>
    </row>
    <row r="827" spans="11:14" ht="15.75" customHeight="1" x14ac:dyDescent="0.3">
      <c r="K827" s="8"/>
      <c r="L827" s="8"/>
      <c r="M827" s="8"/>
      <c r="N827" s="8"/>
    </row>
    <row r="828" spans="11:14" ht="15.75" customHeight="1" x14ac:dyDescent="0.3">
      <c r="K828" s="8"/>
      <c r="L828" s="8"/>
      <c r="M828" s="8"/>
      <c r="N828" s="8"/>
    </row>
    <row r="829" spans="11:14" ht="15.75" customHeight="1" x14ac:dyDescent="0.3">
      <c r="K829" s="8"/>
      <c r="L829" s="8"/>
      <c r="M829" s="8"/>
      <c r="N829" s="8"/>
    </row>
    <row r="830" spans="11:14" ht="15.75" customHeight="1" x14ac:dyDescent="0.3">
      <c r="K830" s="8"/>
      <c r="L830" s="8"/>
      <c r="M830" s="8"/>
      <c r="N830" s="8"/>
    </row>
    <row r="831" spans="11:14" ht="15.75" customHeight="1" x14ac:dyDescent="0.3">
      <c r="K831" s="8"/>
      <c r="L831" s="8"/>
      <c r="M831" s="8"/>
      <c r="N831" s="8"/>
    </row>
    <row r="832" spans="11:14" ht="15.75" customHeight="1" x14ac:dyDescent="0.3">
      <c r="K832" s="8"/>
      <c r="L832" s="8"/>
      <c r="M832" s="8"/>
      <c r="N832" s="8"/>
    </row>
    <row r="833" spans="11:14" ht="15.75" customHeight="1" x14ac:dyDescent="0.3">
      <c r="K833" s="8"/>
      <c r="L833" s="8"/>
      <c r="M833" s="8"/>
      <c r="N833" s="8"/>
    </row>
    <row r="834" spans="11:14" ht="15.75" customHeight="1" x14ac:dyDescent="0.3">
      <c r="K834" s="8"/>
      <c r="L834" s="8"/>
      <c r="M834" s="8"/>
      <c r="N834" s="8"/>
    </row>
    <row r="835" spans="11:14" ht="15.75" customHeight="1" x14ac:dyDescent="0.3">
      <c r="K835" s="8"/>
      <c r="L835" s="8"/>
      <c r="M835" s="8"/>
      <c r="N835" s="8"/>
    </row>
    <row r="836" spans="11:14" ht="15.75" customHeight="1" x14ac:dyDescent="0.3">
      <c r="K836" s="8"/>
      <c r="L836" s="8"/>
      <c r="M836" s="8"/>
      <c r="N836" s="8"/>
    </row>
    <row r="837" spans="11:14" ht="15.75" customHeight="1" x14ac:dyDescent="0.3">
      <c r="K837" s="8"/>
      <c r="L837" s="8"/>
      <c r="M837" s="8"/>
      <c r="N837" s="8"/>
    </row>
    <row r="838" spans="11:14" ht="15.75" customHeight="1" x14ac:dyDescent="0.3">
      <c r="K838" s="8"/>
      <c r="L838" s="8"/>
      <c r="M838" s="8"/>
      <c r="N838" s="8"/>
    </row>
    <row r="839" spans="11:14" ht="15.75" customHeight="1" x14ac:dyDescent="0.3">
      <c r="K839" s="8"/>
      <c r="L839" s="8"/>
      <c r="M839" s="8"/>
      <c r="N839" s="8"/>
    </row>
    <row r="840" spans="11:14" ht="15.75" customHeight="1" x14ac:dyDescent="0.3">
      <c r="K840" s="8"/>
      <c r="L840" s="8"/>
      <c r="M840" s="8"/>
      <c r="N840" s="8"/>
    </row>
    <row r="841" spans="11:14" ht="15.75" customHeight="1" x14ac:dyDescent="0.3">
      <c r="K841" s="8"/>
      <c r="L841" s="8"/>
      <c r="M841" s="8"/>
      <c r="N841" s="8"/>
    </row>
    <row r="842" spans="11:14" ht="15.75" customHeight="1" x14ac:dyDescent="0.3">
      <c r="K842" s="8"/>
      <c r="L842" s="8"/>
      <c r="M842" s="8"/>
      <c r="N842" s="8"/>
    </row>
    <row r="843" spans="11:14" ht="15.75" customHeight="1" x14ac:dyDescent="0.3">
      <c r="K843" s="8"/>
      <c r="L843" s="8"/>
      <c r="M843" s="8"/>
      <c r="N843" s="8"/>
    </row>
    <row r="844" spans="11:14" ht="15.75" customHeight="1" x14ac:dyDescent="0.3">
      <c r="K844" s="8"/>
      <c r="L844" s="8"/>
      <c r="M844" s="8"/>
      <c r="N844" s="8"/>
    </row>
    <row r="845" spans="11:14" ht="15.75" customHeight="1" x14ac:dyDescent="0.3">
      <c r="K845" s="8"/>
      <c r="L845" s="8"/>
      <c r="M845" s="8"/>
      <c r="N845" s="8"/>
    </row>
    <row r="846" spans="11:14" ht="15.75" customHeight="1" x14ac:dyDescent="0.3">
      <c r="K846" s="8"/>
      <c r="L846" s="8"/>
      <c r="M846" s="8"/>
      <c r="N846" s="8"/>
    </row>
    <row r="847" spans="11:14" ht="15.75" customHeight="1" x14ac:dyDescent="0.3">
      <c r="K847" s="8"/>
      <c r="L847" s="8"/>
      <c r="M847" s="8"/>
      <c r="N847" s="8"/>
    </row>
    <row r="848" spans="11:14" ht="15.75" customHeight="1" x14ac:dyDescent="0.3">
      <c r="K848" s="8"/>
      <c r="L848" s="8"/>
      <c r="M848" s="8"/>
      <c r="N848" s="8"/>
    </row>
    <row r="849" spans="11:14" ht="15.75" customHeight="1" x14ac:dyDescent="0.3">
      <c r="K849" s="8"/>
      <c r="L849" s="8"/>
      <c r="M849" s="8"/>
      <c r="N849" s="8"/>
    </row>
    <row r="850" spans="11:14" ht="15.75" customHeight="1" x14ac:dyDescent="0.3">
      <c r="K850" s="8"/>
      <c r="L850" s="8"/>
      <c r="M850" s="8"/>
      <c r="N850" s="8"/>
    </row>
    <row r="851" spans="11:14" ht="15.75" customHeight="1" x14ac:dyDescent="0.3">
      <c r="K851" s="8"/>
      <c r="L851" s="8"/>
      <c r="M851" s="8"/>
      <c r="N851" s="8"/>
    </row>
    <row r="852" spans="11:14" ht="15.75" customHeight="1" x14ac:dyDescent="0.3">
      <c r="K852" s="8"/>
      <c r="L852" s="8"/>
      <c r="M852" s="8"/>
      <c r="N852" s="8"/>
    </row>
    <row r="853" spans="11:14" ht="15.75" customHeight="1" x14ac:dyDescent="0.3">
      <c r="K853" s="8"/>
      <c r="L853" s="8"/>
      <c r="M853" s="8"/>
      <c r="N853" s="8"/>
    </row>
    <row r="854" spans="11:14" ht="15.75" customHeight="1" x14ac:dyDescent="0.3">
      <c r="K854" s="8"/>
      <c r="L854" s="8"/>
      <c r="M854" s="8"/>
      <c r="N854" s="8"/>
    </row>
    <row r="855" spans="11:14" ht="15.75" customHeight="1" x14ac:dyDescent="0.3">
      <c r="K855" s="8"/>
      <c r="L855" s="8"/>
      <c r="M855" s="8"/>
      <c r="N855" s="8"/>
    </row>
    <row r="856" spans="11:14" ht="15.75" customHeight="1" x14ac:dyDescent="0.3">
      <c r="K856" s="8"/>
      <c r="L856" s="8"/>
      <c r="M856" s="8"/>
      <c r="N856" s="8"/>
    </row>
    <row r="857" spans="11:14" ht="15.75" customHeight="1" x14ac:dyDescent="0.3">
      <c r="K857" s="8"/>
      <c r="L857" s="8"/>
      <c r="M857" s="8"/>
      <c r="N857" s="8"/>
    </row>
    <row r="858" spans="11:14" ht="15.75" customHeight="1" x14ac:dyDescent="0.3">
      <c r="K858" s="8"/>
      <c r="L858" s="8"/>
      <c r="M858" s="8"/>
      <c r="N858" s="8"/>
    </row>
    <row r="859" spans="11:14" ht="15.75" customHeight="1" x14ac:dyDescent="0.3">
      <c r="K859" s="8"/>
      <c r="L859" s="8"/>
      <c r="M859" s="8"/>
      <c r="N859" s="8"/>
    </row>
    <row r="860" spans="11:14" ht="15.75" customHeight="1" x14ac:dyDescent="0.3">
      <c r="K860" s="8"/>
      <c r="L860" s="8"/>
      <c r="M860" s="8"/>
      <c r="N860" s="8"/>
    </row>
    <row r="861" spans="11:14" ht="15.75" customHeight="1" x14ac:dyDescent="0.3">
      <c r="K861" s="8"/>
      <c r="L861" s="8"/>
      <c r="M861" s="8"/>
      <c r="N861" s="8"/>
    </row>
    <row r="862" spans="11:14" ht="15.75" customHeight="1" x14ac:dyDescent="0.3">
      <c r="K862" s="8"/>
      <c r="L862" s="8"/>
      <c r="M862" s="8"/>
      <c r="N862" s="8"/>
    </row>
    <row r="863" spans="11:14" ht="15.75" customHeight="1" x14ac:dyDescent="0.3">
      <c r="K863" s="8"/>
      <c r="L863" s="8"/>
      <c r="M863" s="8"/>
      <c r="N863" s="8"/>
    </row>
    <row r="864" spans="11:14" ht="15.75" customHeight="1" x14ac:dyDescent="0.3">
      <c r="K864" s="8"/>
      <c r="L864" s="8"/>
      <c r="M864" s="8"/>
      <c r="N864" s="8"/>
    </row>
    <row r="865" spans="11:14" ht="15.75" customHeight="1" x14ac:dyDescent="0.3">
      <c r="K865" s="8"/>
      <c r="L865" s="8"/>
      <c r="M865" s="8"/>
      <c r="N865" s="8"/>
    </row>
    <row r="866" spans="11:14" ht="15.75" customHeight="1" x14ac:dyDescent="0.3">
      <c r="K866" s="8"/>
      <c r="L866" s="8"/>
      <c r="M866" s="8"/>
      <c r="N866" s="8"/>
    </row>
    <row r="867" spans="11:14" ht="15.75" customHeight="1" x14ac:dyDescent="0.3">
      <c r="K867" s="8"/>
      <c r="L867" s="8"/>
      <c r="M867" s="8"/>
      <c r="N867" s="8"/>
    </row>
    <row r="868" spans="11:14" ht="15.75" customHeight="1" x14ac:dyDescent="0.3">
      <c r="K868" s="8"/>
      <c r="L868" s="8"/>
      <c r="M868" s="8"/>
      <c r="N868" s="8"/>
    </row>
    <row r="869" spans="11:14" ht="15.75" customHeight="1" x14ac:dyDescent="0.3">
      <c r="K869" s="8"/>
      <c r="L869" s="8"/>
      <c r="M869" s="8"/>
      <c r="N869" s="8"/>
    </row>
    <row r="870" spans="11:14" ht="15.75" customHeight="1" x14ac:dyDescent="0.3">
      <c r="K870" s="8"/>
      <c r="L870" s="8"/>
      <c r="M870" s="8"/>
      <c r="N870" s="8"/>
    </row>
    <row r="871" spans="11:14" ht="15.75" customHeight="1" x14ac:dyDescent="0.3">
      <c r="K871" s="8"/>
      <c r="L871" s="8"/>
      <c r="M871" s="8"/>
      <c r="N871" s="8"/>
    </row>
    <row r="872" spans="11:14" ht="15.75" customHeight="1" x14ac:dyDescent="0.3">
      <c r="K872" s="8"/>
      <c r="L872" s="8"/>
      <c r="M872" s="8"/>
      <c r="N872" s="8"/>
    </row>
    <row r="873" spans="11:14" ht="15.75" customHeight="1" x14ac:dyDescent="0.3">
      <c r="K873" s="8"/>
      <c r="L873" s="8"/>
      <c r="M873" s="8"/>
      <c r="N873" s="8"/>
    </row>
    <row r="874" spans="11:14" ht="15.75" customHeight="1" x14ac:dyDescent="0.3">
      <c r="K874" s="8"/>
      <c r="L874" s="8"/>
      <c r="M874" s="8"/>
      <c r="N874" s="8"/>
    </row>
    <row r="875" spans="11:14" ht="15.75" customHeight="1" x14ac:dyDescent="0.3">
      <c r="K875" s="8"/>
      <c r="L875" s="8"/>
      <c r="M875" s="8"/>
      <c r="N875" s="8"/>
    </row>
    <row r="876" spans="11:14" ht="15.75" customHeight="1" x14ac:dyDescent="0.3">
      <c r="K876" s="8"/>
      <c r="L876" s="8"/>
      <c r="M876" s="8"/>
      <c r="N876" s="8"/>
    </row>
    <row r="877" spans="11:14" ht="15.75" customHeight="1" x14ac:dyDescent="0.3">
      <c r="K877" s="8"/>
      <c r="L877" s="8"/>
      <c r="M877" s="8"/>
      <c r="N877" s="8"/>
    </row>
    <row r="878" spans="11:14" ht="15.75" customHeight="1" x14ac:dyDescent="0.3">
      <c r="K878" s="8"/>
      <c r="L878" s="8"/>
      <c r="M878" s="8"/>
      <c r="N878" s="8"/>
    </row>
    <row r="879" spans="11:14" ht="15.75" customHeight="1" x14ac:dyDescent="0.3">
      <c r="K879" s="8"/>
      <c r="L879" s="8"/>
      <c r="M879" s="8"/>
      <c r="N879" s="8"/>
    </row>
    <row r="880" spans="11:14" ht="15.75" customHeight="1" x14ac:dyDescent="0.3">
      <c r="K880" s="8"/>
      <c r="L880" s="8"/>
      <c r="M880" s="8"/>
      <c r="N880" s="8"/>
    </row>
    <row r="881" spans="11:14" ht="15.75" customHeight="1" x14ac:dyDescent="0.3">
      <c r="K881" s="8"/>
      <c r="L881" s="8"/>
      <c r="M881" s="8"/>
      <c r="N881" s="8"/>
    </row>
    <row r="882" spans="11:14" ht="15.75" customHeight="1" x14ac:dyDescent="0.3">
      <c r="K882" s="8"/>
      <c r="L882" s="8"/>
      <c r="M882" s="8"/>
      <c r="N882" s="8"/>
    </row>
    <row r="883" spans="11:14" ht="15.75" customHeight="1" x14ac:dyDescent="0.3">
      <c r="K883" s="8"/>
      <c r="L883" s="8"/>
      <c r="M883" s="8"/>
      <c r="N883" s="8"/>
    </row>
    <row r="884" spans="11:14" ht="15.75" customHeight="1" x14ac:dyDescent="0.3">
      <c r="K884" s="8"/>
      <c r="L884" s="8"/>
      <c r="M884" s="8"/>
      <c r="N884" s="8"/>
    </row>
    <row r="885" spans="11:14" ht="15.75" customHeight="1" x14ac:dyDescent="0.3">
      <c r="K885" s="8"/>
      <c r="L885" s="8"/>
      <c r="M885" s="8"/>
      <c r="N885" s="8"/>
    </row>
    <row r="886" spans="11:14" ht="15.75" customHeight="1" x14ac:dyDescent="0.3">
      <c r="K886" s="8"/>
      <c r="L886" s="8"/>
      <c r="M886" s="8"/>
      <c r="N886" s="8"/>
    </row>
    <row r="887" spans="11:14" ht="15.75" customHeight="1" x14ac:dyDescent="0.3">
      <c r="K887" s="8"/>
      <c r="L887" s="8"/>
      <c r="M887" s="8"/>
      <c r="N887" s="8"/>
    </row>
    <row r="888" spans="11:14" ht="15.75" customHeight="1" x14ac:dyDescent="0.3">
      <c r="K888" s="8"/>
      <c r="L888" s="8"/>
      <c r="M888" s="8"/>
      <c r="N888" s="8"/>
    </row>
    <row r="889" spans="11:14" ht="15.75" customHeight="1" x14ac:dyDescent="0.3">
      <c r="K889" s="8"/>
      <c r="L889" s="8"/>
      <c r="M889" s="8"/>
      <c r="N889" s="8"/>
    </row>
    <row r="890" spans="11:14" ht="15.75" customHeight="1" x14ac:dyDescent="0.3">
      <c r="K890" s="8"/>
      <c r="L890" s="8"/>
      <c r="M890" s="8"/>
      <c r="N890" s="8"/>
    </row>
    <row r="891" spans="11:14" ht="15.75" customHeight="1" x14ac:dyDescent="0.3">
      <c r="K891" s="8"/>
      <c r="L891" s="8"/>
      <c r="M891" s="8"/>
      <c r="N891" s="8"/>
    </row>
    <row r="892" spans="11:14" ht="15.75" customHeight="1" x14ac:dyDescent="0.3">
      <c r="K892" s="8"/>
      <c r="L892" s="8"/>
      <c r="M892" s="8"/>
      <c r="N892" s="8"/>
    </row>
    <row r="893" spans="11:14" ht="15.75" customHeight="1" x14ac:dyDescent="0.3">
      <c r="K893" s="8"/>
      <c r="L893" s="8"/>
      <c r="M893" s="8"/>
      <c r="N893" s="8"/>
    </row>
    <row r="894" spans="11:14" ht="15.75" customHeight="1" x14ac:dyDescent="0.3">
      <c r="K894" s="8"/>
      <c r="L894" s="8"/>
      <c r="M894" s="8"/>
      <c r="N894" s="8"/>
    </row>
    <row r="895" spans="11:14" ht="15.75" customHeight="1" x14ac:dyDescent="0.3">
      <c r="K895" s="8"/>
      <c r="L895" s="8"/>
      <c r="M895" s="8"/>
      <c r="N895" s="8"/>
    </row>
    <row r="896" spans="11:14" ht="15.75" customHeight="1" x14ac:dyDescent="0.3">
      <c r="K896" s="8"/>
      <c r="L896" s="8"/>
      <c r="M896" s="8"/>
      <c r="N896" s="8"/>
    </row>
    <row r="897" spans="11:14" ht="15.75" customHeight="1" x14ac:dyDescent="0.3">
      <c r="K897" s="8"/>
      <c r="L897" s="8"/>
      <c r="M897" s="8"/>
      <c r="N897" s="8"/>
    </row>
    <row r="898" spans="11:14" ht="15.75" customHeight="1" x14ac:dyDescent="0.3">
      <c r="K898" s="8"/>
      <c r="L898" s="8"/>
      <c r="M898" s="8"/>
      <c r="N898" s="8"/>
    </row>
    <row r="899" spans="11:14" ht="15.75" customHeight="1" x14ac:dyDescent="0.3">
      <c r="K899" s="8"/>
      <c r="L899" s="8"/>
      <c r="M899" s="8"/>
      <c r="N899" s="8"/>
    </row>
    <row r="900" spans="11:14" ht="15.75" customHeight="1" x14ac:dyDescent="0.3">
      <c r="K900" s="8"/>
      <c r="L900" s="8"/>
      <c r="M900" s="8"/>
      <c r="N900" s="8"/>
    </row>
    <row r="901" spans="11:14" ht="15.75" customHeight="1" x14ac:dyDescent="0.3">
      <c r="K901" s="8"/>
      <c r="L901" s="8"/>
      <c r="M901" s="8"/>
      <c r="N901" s="8"/>
    </row>
    <row r="902" spans="11:14" ht="15.75" customHeight="1" x14ac:dyDescent="0.3">
      <c r="K902" s="8"/>
      <c r="L902" s="8"/>
      <c r="M902" s="8"/>
      <c r="N902" s="8"/>
    </row>
    <row r="903" spans="11:14" ht="15.75" customHeight="1" x14ac:dyDescent="0.3">
      <c r="K903" s="8"/>
      <c r="L903" s="8"/>
      <c r="M903" s="8"/>
      <c r="N903" s="8"/>
    </row>
    <row r="904" spans="11:14" ht="15.75" customHeight="1" x14ac:dyDescent="0.3">
      <c r="K904" s="8"/>
      <c r="L904" s="8"/>
      <c r="M904" s="8"/>
      <c r="N904" s="8"/>
    </row>
    <row r="905" spans="11:14" ht="15.75" customHeight="1" x14ac:dyDescent="0.3">
      <c r="K905" s="8"/>
      <c r="L905" s="8"/>
      <c r="M905" s="8"/>
      <c r="N905" s="8"/>
    </row>
    <row r="906" spans="11:14" ht="15.75" customHeight="1" x14ac:dyDescent="0.3">
      <c r="K906" s="8"/>
      <c r="L906" s="8"/>
      <c r="M906" s="8"/>
      <c r="N906" s="8"/>
    </row>
    <row r="907" spans="11:14" ht="15.75" customHeight="1" x14ac:dyDescent="0.3">
      <c r="K907" s="8"/>
      <c r="L907" s="8"/>
      <c r="M907" s="8"/>
      <c r="N907" s="8"/>
    </row>
    <row r="908" spans="11:14" ht="15.75" customHeight="1" x14ac:dyDescent="0.3">
      <c r="K908" s="8"/>
      <c r="L908" s="8"/>
      <c r="M908" s="8"/>
      <c r="N908" s="8"/>
    </row>
    <row r="909" spans="11:14" ht="15.75" customHeight="1" x14ac:dyDescent="0.3">
      <c r="K909" s="8"/>
      <c r="L909" s="8"/>
      <c r="M909" s="8"/>
      <c r="N909" s="8"/>
    </row>
    <row r="910" spans="11:14" ht="15.75" customHeight="1" x14ac:dyDescent="0.3">
      <c r="K910" s="8"/>
      <c r="L910" s="8"/>
      <c r="M910" s="8"/>
      <c r="N910" s="8"/>
    </row>
    <row r="911" spans="11:14" ht="15.75" customHeight="1" x14ac:dyDescent="0.3">
      <c r="K911" s="8"/>
      <c r="L911" s="8"/>
      <c r="M911" s="8"/>
      <c r="N911" s="8"/>
    </row>
    <row r="912" spans="11:14" ht="15.75" customHeight="1" x14ac:dyDescent="0.3">
      <c r="K912" s="8"/>
      <c r="L912" s="8"/>
      <c r="M912" s="8"/>
      <c r="N912" s="8"/>
    </row>
    <row r="913" spans="11:14" ht="15.75" customHeight="1" x14ac:dyDescent="0.3">
      <c r="K913" s="8"/>
      <c r="L913" s="8"/>
      <c r="M913" s="8"/>
      <c r="N913" s="8"/>
    </row>
    <row r="914" spans="11:14" ht="15.75" customHeight="1" x14ac:dyDescent="0.3">
      <c r="K914" s="8"/>
      <c r="L914" s="8"/>
      <c r="M914" s="8"/>
      <c r="N914" s="8"/>
    </row>
    <row r="915" spans="11:14" ht="15.75" customHeight="1" x14ac:dyDescent="0.3">
      <c r="K915" s="8"/>
      <c r="L915" s="8"/>
      <c r="M915" s="8"/>
      <c r="N915" s="8"/>
    </row>
    <row r="916" spans="11:14" ht="15.75" customHeight="1" x14ac:dyDescent="0.3">
      <c r="K916" s="8"/>
      <c r="L916" s="8"/>
      <c r="M916" s="8"/>
      <c r="N916" s="8"/>
    </row>
    <row r="917" spans="11:14" ht="15.75" customHeight="1" x14ac:dyDescent="0.3">
      <c r="K917" s="8"/>
      <c r="L917" s="8"/>
      <c r="M917" s="8"/>
      <c r="N917" s="8"/>
    </row>
    <row r="918" spans="11:14" ht="15.75" customHeight="1" x14ac:dyDescent="0.3">
      <c r="K918" s="8"/>
      <c r="L918" s="8"/>
      <c r="M918" s="8"/>
      <c r="N918" s="8"/>
    </row>
    <row r="919" spans="11:14" ht="15.75" customHeight="1" x14ac:dyDescent="0.3">
      <c r="K919" s="8"/>
      <c r="L919" s="8"/>
      <c r="M919" s="8"/>
      <c r="N919" s="8"/>
    </row>
    <row r="920" spans="11:14" ht="15.75" customHeight="1" x14ac:dyDescent="0.3">
      <c r="K920" s="8"/>
      <c r="L920" s="8"/>
      <c r="M920" s="8"/>
      <c r="N920" s="8"/>
    </row>
    <row r="921" spans="11:14" ht="15.75" customHeight="1" x14ac:dyDescent="0.3">
      <c r="K921" s="8"/>
      <c r="L921" s="8"/>
      <c r="M921" s="8"/>
      <c r="N921" s="8"/>
    </row>
    <row r="922" spans="11:14" ht="15.75" customHeight="1" x14ac:dyDescent="0.3">
      <c r="K922" s="8"/>
      <c r="L922" s="8"/>
      <c r="M922" s="8"/>
      <c r="N922" s="8"/>
    </row>
    <row r="923" spans="11:14" ht="15.75" customHeight="1" x14ac:dyDescent="0.3">
      <c r="K923" s="8"/>
      <c r="L923" s="8"/>
      <c r="M923" s="8"/>
      <c r="N923" s="8"/>
    </row>
    <row r="924" spans="11:14" ht="15.75" customHeight="1" x14ac:dyDescent="0.3">
      <c r="K924" s="8"/>
      <c r="L924" s="8"/>
      <c r="M924" s="8"/>
      <c r="N924" s="8"/>
    </row>
    <row r="925" spans="11:14" ht="15.75" customHeight="1" x14ac:dyDescent="0.3">
      <c r="K925" s="8"/>
      <c r="L925" s="8"/>
      <c r="M925" s="8"/>
      <c r="N925" s="8"/>
    </row>
    <row r="926" spans="11:14" ht="15.75" customHeight="1" x14ac:dyDescent="0.3">
      <c r="K926" s="8"/>
      <c r="L926" s="8"/>
      <c r="M926" s="8"/>
      <c r="N926" s="8"/>
    </row>
    <row r="927" spans="11:14" ht="15.75" customHeight="1" x14ac:dyDescent="0.3">
      <c r="K927" s="8"/>
      <c r="L927" s="8"/>
      <c r="M927" s="8"/>
      <c r="N927" s="8"/>
    </row>
    <row r="928" spans="11:14" ht="15.75" customHeight="1" x14ac:dyDescent="0.3">
      <c r="K928" s="8"/>
      <c r="L928" s="8"/>
      <c r="M928" s="8"/>
      <c r="N928" s="8"/>
    </row>
    <row r="929" spans="11:14" ht="15.75" customHeight="1" x14ac:dyDescent="0.3">
      <c r="K929" s="8"/>
      <c r="L929" s="8"/>
      <c r="M929" s="8"/>
      <c r="N929" s="8"/>
    </row>
    <row r="930" spans="11:14" ht="15.75" customHeight="1" x14ac:dyDescent="0.3">
      <c r="K930" s="8"/>
      <c r="L930" s="8"/>
      <c r="M930" s="8"/>
      <c r="N930" s="8"/>
    </row>
    <row r="931" spans="11:14" ht="15.75" customHeight="1" x14ac:dyDescent="0.3">
      <c r="K931" s="8"/>
      <c r="L931" s="8"/>
      <c r="M931" s="8"/>
      <c r="N931" s="8"/>
    </row>
    <row r="932" spans="11:14" ht="15.75" customHeight="1" x14ac:dyDescent="0.3">
      <c r="K932" s="8"/>
      <c r="L932" s="8"/>
      <c r="M932" s="8"/>
      <c r="N932" s="8"/>
    </row>
    <row r="933" spans="11:14" ht="15.75" customHeight="1" x14ac:dyDescent="0.3">
      <c r="K933" s="8"/>
      <c r="L933" s="8"/>
      <c r="M933" s="8"/>
      <c r="N933" s="8"/>
    </row>
    <row r="934" spans="11:14" ht="15.75" customHeight="1" x14ac:dyDescent="0.3">
      <c r="K934" s="8"/>
      <c r="L934" s="8"/>
      <c r="M934" s="8"/>
      <c r="N934" s="8"/>
    </row>
    <row r="935" spans="11:14" ht="15.75" customHeight="1" x14ac:dyDescent="0.3">
      <c r="K935" s="8"/>
      <c r="L935" s="8"/>
      <c r="M935" s="8"/>
      <c r="N935" s="8"/>
    </row>
    <row r="936" spans="11:14" ht="15.75" customHeight="1" x14ac:dyDescent="0.3">
      <c r="K936" s="8"/>
      <c r="L936" s="8"/>
      <c r="M936" s="8"/>
      <c r="N936" s="8"/>
    </row>
    <row r="937" spans="11:14" ht="15.75" customHeight="1" x14ac:dyDescent="0.3">
      <c r="K937" s="8"/>
      <c r="L937" s="8"/>
      <c r="M937" s="8"/>
      <c r="N937" s="8"/>
    </row>
    <row r="938" spans="11:14" ht="15.75" customHeight="1" x14ac:dyDescent="0.3">
      <c r="K938" s="8"/>
      <c r="L938" s="8"/>
      <c r="M938" s="8"/>
      <c r="N938" s="8"/>
    </row>
    <row r="939" spans="11:14" ht="15.75" customHeight="1" x14ac:dyDescent="0.3">
      <c r="K939" s="8"/>
      <c r="L939" s="8"/>
      <c r="M939" s="8"/>
      <c r="N939" s="8"/>
    </row>
    <row r="940" spans="11:14" ht="15.75" customHeight="1" x14ac:dyDescent="0.3">
      <c r="K940" s="8"/>
      <c r="L940" s="8"/>
      <c r="M940" s="8"/>
      <c r="N940" s="8"/>
    </row>
    <row r="941" spans="11:14" ht="15.75" customHeight="1" x14ac:dyDescent="0.3">
      <c r="K941" s="8"/>
      <c r="L941" s="8"/>
      <c r="M941" s="8"/>
      <c r="N941" s="8"/>
    </row>
    <row r="942" spans="11:14" ht="15.75" customHeight="1" x14ac:dyDescent="0.3">
      <c r="K942" s="8"/>
      <c r="L942" s="8"/>
      <c r="M942" s="8"/>
      <c r="N942" s="8"/>
    </row>
    <row r="943" spans="11:14" ht="15.75" customHeight="1" x14ac:dyDescent="0.3">
      <c r="K943" s="8"/>
      <c r="L943" s="8"/>
      <c r="M943" s="8"/>
      <c r="N943" s="8"/>
    </row>
    <row r="944" spans="11:14" ht="15.75" customHeight="1" x14ac:dyDescent="0.3">
      <c r="K944" s="8"/>
      <c r="L944" s="8"/>
      <c r="M944" s="8"/>
      <c r="N944" s="8"/>
    </row>
    <row r="945" spans="11:14" ht="15.75" customHeight="1" x14ac:dyDescent="0.3">
      <c r="K945" s="8"/>
      <c r="L945" s="8"/>
      <c r="M945" s="8"/>
      <c r="N945" s="8"/>
    </row>
    <row r="946" spans="11:14" ht="15.75" customHeight="1" x14ac:dyDescent="0.3">
      <c r="K946" s="8"/>
      <c r="L946" s="8"/>
      <c r="M946" s="8"/>
      <c r="N946" s="8"/>
    </row>
    <row r="947" spans="11:14" ht="15.75" customHeight="1" x14ac:dyDescent="0.3">
      <c r="K947" s="8"/>
      <c r="L947" s="8"/>
      <c r="M947" s="8"/>
      <c r="N947" s="8"/>
    </row>
    <row r="948" spans="11:14" ht="15.75" customHeight="1" x14ac:dyDescent="0.3">
      <c r="K948" s="8"/>
      <c r="L948" s="8"/>
      <c r="M948" s="8"/>
      <c r="N948" s="8"/>
    </row>
    <row r="949" spans="11:14" ht="15.75" customHeight="1" x14ac:dyDescent="0.3">
      <c r="K949" s="8"/>
      <c r="L949" s="8"/>
      <c r="M949" s="8"/>
      <c r="N949" s="8"/>
    </row>
    <row r="950" spans="11:14" ht="15.75" customHeight="1" x14ac:dyDescent="0.3">
      <c r="K950" s="8"/>
      <c r="L950" s="8"/>
      <c r="M950" s="8"/>
      <c r="N950" s="8"/>
    </row>
    <row r="951" spans="11:14" ht="15.75" customHeight="1" x14ac:dyDescent="0.3">
      <c r="K951" s="8"/>
      <c r="L951" s="8"/>
      <c r="M951" s="8"/>
      <c r="N951" s="8"/>
    </row>
    <row r="952" spans="11:14" ht="15.75" customHeight="1" x14ac:dyDescent="0.3">
      <c r="K952" s="8"/>
      <c r="L952" s="8"/>
      <c r="M952" s="8"/>
      <c r="N952" s="8"/>
    </row>
    <row r="953" spans="11:14" ht="15.75" customHeight="1" x14ac:dyDescent="0.3">
      <c r="K953" s="8"/>
      <c r="L953" s="8"/>
      <c r="M953" s="8"/>
      <c r="N953" s="8"/>
    </row>
    <row r="954" spans="11:14" ht="15.75" customHeight="1" x14ac:dyDescent="0.3">
      <c r="K954" s="8"/>
      <c r="L954" s="8"/>
      <c r="M954" s="8"/>
      <c r="N954" s="8"/>
    </row>
    <row r="955" spans="11:14" ht="15.75" customHeight="1" x14ac:dyDescent="0.3">
      <c r="K955" s="8"/>
      <c r="L955" s="8"/>
      <c r="M955" s="8"/>
      <c r="N955" s="8"/>
    </row>
    <row r="956" spans="11:14" ht="15.75" customHeight="1" x14ac:dyDescent="0.3">
      <c r="K956" s="8"/>
      <c r="L956" s="8"/>
      <c r="M956" s="8"/>
      <c r="N956" s="8"/>
    </row>
    <row r="957" spans="11:14" ht="15.75" customHeight="1" x14ac:dyDescent="0.3">
      <c r="K957" s="8"/>
      <c r="L957" s="8"/>
      <c r="M957" s="8"/>
      <c r="N957" s="8"/>
    </row>
    <row r="958" spans="11:14" ht="15.75" customHeight="1" x14ac:dyDescent="0.3">
      <c r="K958" s="8"/>
      <c r="L958" s="8"/>
      <c r="M958" s="8"/>
      <c r="N958" s="8"/>
    </row>
    <row r="959" spans="11:14" ht="15.75" customHeight="1" x14ac:dyDescent="0.3">
      <c r="K959" s="8"/>
      <c r="L959" s="8"/>
      <c r="M959" s="8"/>
      <c r="N959" s="8"/>
    </row>
    <row r="960" spans="11:14" ht="15.75" customHeight="1" x14ac:dyDescent="0.3">
      <c r="K960" s="8"/>
      <c r="L960" s="8"/>
      <c r="M960" s="8"/>
      <c r="N960" s="8"/>
    </row>
    <row r="961" spans="11:14" ht="15.75" customHeight="1" x14ac:dyDescent="0.3">
      <c r="K961" s="8"/>
      <c r="L961" s="8"/>
      <c r="M961" s="8"/>
      <c r="N961" s="8"/>
    </row>
    <row r="962" spans="11:14" ht="15.75" customHeight="1" x14ac:dyDescent="0.3">
      <c r="K962" s="8"/>
      <c r="L962" s="8"/>
      <c r="M962" s="8"/>
      <c r="N962" s="8"/>
    </row>
    <row r="963" spans="11:14" ht="15.75" customHeight="1" x14ac:dyDescent="0.3">
      <c r="K963" s="8"/>
      <c r="L963" s="8"/>
      <c r="M963" s="8"/>
      <c r="N963" s="8"/>
    </row>
    <row r="964" spans="11:14" ht="15.75" customHeight="1" x14ac:dyDescent="0.3">
      <c r="K964" s="8"/>
      <c r="L964" s="8"/>
      <c r="M964" s="8"/>
      <c r="N964" s="8"/>
    </row>
    <row r="965" spans="11:14" ht="15.75" customHeight="1" x14ac:dyDescent="0.3">
      <c r="K965" s="8"/>
      <c r="L965" s="8"/>
      <c r="M965" s="8"/>
      <c r="N965" s="8"/>
    </row>
    <row r="966" spans="11:14" ht="15.75" customHeight="1" x14ac:dyDescent="0.3">
      <c r="K966" s="8"/>
      <c r="L966" s="8"/>
      <c r="M966" s="8"/>
      <c r="N966" s="8"/>
    </row>
    <row r="967" spans="11:14" ht="15.75" customHeight="1" x14ac:dyDescent="0.3">
      <c r="K967" s="8"/>
      <c r="L967" s="8"/>
      <c r="M967" s="8"/>
      <c r="N967" s="8"/>
    </row>
    <row r="968" spans="11:14" ht="15.75" customHeight="1" x14ac:dyDescent="0.3">
      <c r="K968" s="8"/>
      <c r="L968" s="8"/>
      <c r="M968" s="8"/>
      <c r="N968" s="8"/>
    </row>
    <row r="969" spans="11:14" ht="15.75" customHeight="1" x14ac:dyDescent="0.3">
      <c r="K969" s="8"/>
      <c r="L969" s="8"/>
      <c r="M969" s="8"/>
      <c r="N969" s="8"/>
    </row>
    <row r="970" spans="11:14" ht="15.75" customHeight="1" x14ac:dyDescent="0.3">
      <c r="K970" s="8"/>
      <c r="L970" s="8"/>
      <c r="M970" s="8"/>
      <c r="N970" s="8"/>
    </row>
    <row r="971" spans="11:14" ht="15.75" customHeight="1" x14ac:dyDescent="0.3">
      <c r="K971" s="8"/>
      <c r="L971" s="8"/>
      <c r="M971" s="8"/>
      <c r="N971" s="8"/>
    </row>
    <row r="972" spans="11:14" ht="15.75" customHeight="1" x14ac:dyDescent="0.3">
      <c r="K972" s="8"/>
      <c r="L972" s="8"/>
      <c r="M972" s="8"/>
      <c r="N972" s="8"/>
    </row>
    <row r="973" spans="11:14" ht="15.75" customHeight="1" x14ac:dyDescent="0.3">
      <c r="K973" s="8"/>
      <c r="L973" s="8"/>
      <c r="M973" s="8"/>
      <c r="N973" s="8"/>
    </row>
    <row r="974" spans="11:14" ht="15.75" customHeight="1" x14ac:dyDescent="0.3">
      <c r="K974" s="8"/>
      <c r="L974" s="8"/>
      <c r="M974" s="8"/>
      <c r="N974" s="8"/>
    </row>
    <row r="975" spans="11:14" ht="15.75" customHeight="1" x14ac:dyDescent="0.3">
      <c r="K975" s="8"/>
      <c r="L975" s="8"/>
      <c r="M975" s="8"/>
      <c r="N975" s="8"/>
    </row>
    <row r="976" spans="11:14" ht="15.75" customHeight="1" x14ac:dyDescent="0.3">
      <c r="K976" s="8"/>
      <c r="L976" s="8"/>
      <c r="M976" s="8"/>
      <c r="N976" s="8"/>
    </row>
    <row r="977" spans="11:14" ht="15.75" customHeight="1" x14ac:dyDescent="0.3">
      <c r="K977" s="8"/>
      <c r="L977" s="8"/>
      <c r="M977" s="8"/>
      <c r="N977" s="8"/>
    </row>
    <row r="978" spans="11:14" ht="15.75" customHeight="1" x14ac:dyDescent="0.3">
      <c r="K978" s="8"/>
      <c r="L978" s="8"/>
      <c r="M978" s="8"/>
      <c r="N978" s="8"/>
    </row>
    <row r="979" spans="11:14" ht="15.75" customHeight="1" x14ac:dyDescent="0.3">
      <c r="K979" s="8"/>
      <c r="L979" s="8"/>
      <c r="M979" s="8"/>
      <c r="N979" s="8"/>
    </row>
    <row r="980" spans="11:14" ht="15.75" customHeight="1" x14ac:dyDescent="0.3">
      <c r="K980" s="8"/>
      <c r="L980" s="8"/>
      <c r="M980" s="8"/>
      <c r="N980" s="8"/>
    </row>
    <row r="981" spans="11:14" ht="15.75" customHeight="1" x14ac:dyDescent="0.3">
      <c r="K981" s="8"/>
      <c r="L981" s="8"/>
      <c r="M981" s="8"/>
      <c r="N981" s="8"/>
    </row>
    <row r="982" spans="11:14" ht="15.75" customHeight="1" x14ac:dyDescent="0.3">
      <c r="K982" s="8"/>
      <c r="L982" s="8"/>
      <c r="M982" s="8"/>
      <c r="N982" s="8"/>
    </row>
    <row r="983" spans="11:14" ht="15.75" customHeight="1" x14ac:dyDescent="0.3">
      <c r="K983" s="8"/>
      <c r="L983" s="8"/>
      <c r="M983" s="8"/>
      <c r="N983" s="8"/>
    </row>
    <row r="984" spans="11:14" ht="15.75" customHeight="1" x14ac:dyDescent="0.3">
      <c r="K984" s="8"/>
      <c r="L984" s="8"/>
      <c r="M984" s="8"/>
      <c r="N984" s="8"/>
    </row>
    <row r="985" spans="11:14" ht="15.75" customHeight="1" x14ac:dyDescent="0.3">
      <c r="K985" s="8"/>
      <c r="L985" s="8"/>
      <c r="M985" s="8"/>
      <c r="N985" s="8"/>
    </row>
    <row r="986" spans="11:14" ht="15.75" customHeight="1" x14ac:dyDescent="0.3">
      <c r="K986" s="8"/>
      <c r="L986" s="8"/>
      <c r="M986" s="8"/>
      <c r="N986" s="8"/>
    </row>
    <row r="987" spans="11:14" ht="15.75" customHeight="1" x14ac:dyDescent="0.3">
      <c r="K987" s="8"/>
      <c r="L987" s="8"/>
      <c r="M987" s="8"/>
      <c r="N987" s="8"/>
    </row>
    <row r="988" spans="11:14" ht="15.75" customHeight="1" x14ac:dyDescent="0.3">
      <c r="K988" s="8"/>
      <c r="L988" s="8"/>
      <c r="M988" s="8"/>
      <c r="N988" s="8"/>
    </row>
    <row r="989" spans="11:14" ht="15.75" customHeight="1" x14ac:dyDescent="0.3">
      <c r="K989" s="8"/>
      <c r="L989" s="8"/>
      <c r="M989" s="8"/>
      <c r="N989" s="8"/>
    </row>
    <row r="990" spans="11:14" ht="15.75" customHeight="1" x14ac:dyDescent="0.3">
      <c r="K990" s="8"/>
      <c r="L990" s="8"/>
      <c r="M990" s="8"/>
      <c r="N990" s="8"/>
    </row>
    <row r="991" spans="11:14" ht="15.75" customHeight="1" x14ac:dyDescent="0.3">
      <c r="K991" s="8"/>
      <c r="L991" s="8"/>
      <c r="M991" s="8"/>
      <c r="N991" s="8"/>
    </row>
    <row r="992" spans="11:14" ht="15.75" customHeight="1" x14ac:dyDescent="0.3">
      <c r="K992" s="8"/>
      <c r="L992" s="8"/>
      <c r="M992" s="8"/>
      <c r="N992" s="8"/>
    </row>
    <row r="993" spans="11:14" ht="15.75" customHeight="1" x14ac:dyDescent="0.3">
      <c r="K993" s="8"/>
      <c r="L993" s="8"/>
      <c r="M993" s="8"/>
      <c r="N993" s="8"/>
    </row>
    <row r="994" spans="11:14" ht="15.75" customHeight="1" x14ac:dyDescent="0.3">
      <c r="K994" s="8"/>
      <c r="L994" s="8"/>
      <c r="M994" s="8"/>
      <c r="N994" s="8"/>
    </row>
    <row r="995" spans="11:14" ht="15.75" customHeight="1" x14ac:dyDescent="0.3">
      <c r="K995" s="8"/>
      <c r="L995" s="8"/>
      <c r="M995" s="8"/>
      <c r="N995" s="8"/>
    </row>
    <row r="996" spans="11:14" ht="15.75" customHeight="1" x14ac:dyDescent="0.3">
      <c r="K996" s="8"/>
      <c r="L996" s="8"/>
      <c r="M996" s="8"/>
      <c r="N996" s="8"/>
    </row>
    <row r="997" spans="11:14" ht="15.75" customHeight="1" x14ac:dyDescent="0.3">
      <c r="K997" s="8"/>
      <c r="L997" s="8"/>
      <c r="M997" s="8"/>
      <c r="N997" s="8"/>
    </row>
    <row r="998" spans="11:14" ht="15.75" customHeight="1" x14ac:dyDescent="0.3">
      <c r="K998" s="8"/>
      <c r="L998" s="8"/>
      <c r="M998" s="8"/>
      <c r="N998" s="8"/>
    </row>
    <row r="999" spans="11:14" ht="15.75" customHeight="1" x14ac:dyDescent="0.3">
      <c r="K999" s="8"/>
      <c r="L999" s="8"/>
      <c r="M999" s="8"/>
      <c r="N999" s="8"/>
    </row>
    <row r="1000" spans="11:14" ht="15.75" customHeight="1" x14ac:dyDescent="0.3">
      <c r="K1000" s="8"/>
      <c r="L1000" s="8"/>
      <c r="M1000" s="8"/>
      <c r="N1000" s="8"/>
    </row>
  </sheetData>
  <pageMargins left="0.7" right="0.7" top="0.75" bottom="0.75" header="0" footer="0"/>
  <pageSetup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668BCA-1574-654F-AC2C-1E8D6B9E656C}">
  <dimension ref="A1:S1000"/>
  <sheetViews>
    <sheetView showGridLines="0" zoomScale="110" zoomScaleNormal="110" workbookViewId="0">
      <pane xSplit="3" ySplit="5" topLeftCell="D38" activePane="bottomRight" state="frozen"/>
      <selection pane="topRight" activeCell="D1" sqref="D1"/>
      <selection pane="bottomLeft" activeCell="A6" sqref="A6"/>
      <selection pane="bottomRight" activeCell="N68" sqref="N68"/>
    </sheetView>
  </sheetViews>
  <sheetFormatPr defaultColWidth="14.5" defaultRowHeight="15" customHeight="1" x14ac:dyDescent="0.3"/>
  <cols>
    <col min="1" max="1" width="48.796875" style="4" customWidth="1"/>
    <col min="2" max="2" width="1.296875" style="4" customWidth="1"/>
    <col min="3" max="3" width="1.19921875" style="4" customWidth="1"/>
    <col min="4" max="4" width="9.19921875" style="4" hidden="1" customWidth="1"/>
    <col min="5" max="5" width="9.296875" style="4" hidden="1" customWidth="1"/>
    <col min="6" max="6" width="9.19921875" style="4" customWidth="1"/>
    <col min="7" max="7" width="9.5" style="4" customWidth="1"/>
    <col min="8" max="10" width="9.19921875" style="4" customWidth="1"/>
    <col min="11" max="14" width="10.69921875" style="9" customWidth="1"/>
    <col min="15" max="26" width="8.69921875" style="4" customWidth="1"/>
    <col min="27" max="16384" width="14.5" style="4"/>
  </cols>
  <sheetData>
    <row r="1" spans="1:19" ht="58.5" customHeight="1" x14ac:dyDescent="0.45">
      <c r="A1" s="1" t="s">
        <v>1</v>
      </c>
      <c r="B1" s="2"/>
      <c r="C1" s="2"/>
      <c r="D1" s="3" t="str">
        <f>[1]Basics!B1</f>
        <v>Day 2</v>
      </c>
      <c r="E1" s="2"/>
      <c r="F1" s="2"/>
      <c r="G1" s="2"/>
      <c r="H1" s="2"/>
      <c r="I1" s="2"/>
      <c r="J1" s="2"/>
      <c r="K1" s="75"/>
      <c r="L1" s="75"/>
      <c r="M1" s="75"/>
      <c r="N1" s="75"/>
      <c r="O1" s="2"/>
      <c r="P1" s="2"/>
      <c r="Q1" s="2"/>
      <c r="R1" s="2"/>
      <c r="S1" s="2"/>
    </row>
    <row r="2" spans="1:19" ht="14.4" x14ac:dyDescent="0.3">
      <c r="A2" s="4" t="s">
        <v>2</v>
      </c>
    </row>
    <row r="3" spans="1:19" ht="14.4" x14ac:dyDescent="0.3">
      <c r="A3" s="4" t="s">
        <v>3</v>
      </c>
    </row>
    <row r="4" spans="1:19" ht="14.4" x14ac:dyDescent="0.3">
      <c r="A4" s="5" t="s">
        <v>4</v>
      </c>
      <c r="D4" s="5" t="s">
        <v>5</v>
      </c>
      <c r="E4" s="5" t="s">
        <v>6</v>
      </c>
      <c r="F4" s="5" t="s">
        <v>7</v>
      </c>
      <c r="G4" s="5" t="s">
        <v>8</v>
      </c>
      <c r="H4" s="5" t="s">
        <v>9</v>
      </c>
      <c r="I4" s="5" t="s">
        <v>10</v>
      </c>
      <c r="J4" s="5" t="s">
        <v>11</v>
      </c>
      <c r="K4" s="7">
        <f t="shared" ref="K4:N4" si="0">EDATE(J4,12)</f>
        <v>45382</v>
      </c>
      <c r="L4" s="7">
        <f t="shared" si="0"/>
        <v>45747</v>
      </c>
      <c r="M4" s="7">
        <f t="shared" si="0"/>
        <v>46112</v>
      </c>
      <c r="N4" s="7">
        <f t="shared" si="0"/>
        <v>46477</v>
      </c>
    </row>
    <row r="5" spans="1:19" ht="14.4" x14ac:dyDescent="0.3">
      <c r="A5" s="5" t="s">
        <v>12</v>
      </c>
      <c r="D5" s="5" t="s">
        <v>13</v>
      </c>
      <c r="E5" s="5" t="s">
        <v>14</v>
      </c>
      <c r="F5" s="5" t="s">
        <v>15</v>
      </c>
      <c r="G5" s="5" t="s">
        <v>16</v>
      </c>
      <c r="H5" s="5" t="s">
        <v>17</v>
      </c>
      <c r="I5" s="5" t="s">
        <v>18</v>
      </c>
      <c r="J5" s="5" t="s">
        <v>19</v>
      </c>
      <c r="K5" s="6" t="s">
        <v>20</v>
      </c>
      <c r="L5" s="6" t="s">
        <v>21</v>
      </c>
      <c r="M5" s="6" t="s">
        <v>22</v>
      </c>
      <c r="N5" s="6" t="s">
        <v>23</v>
      </c>
    </row>
    <row r="6" spans="1:19" ht="14.4" x14ac:dyDescent="0.3">
      <c r="K6" s="6"/>
      <c r="L6" s="6"/>
      <c r="M6" s="6"/>
      <c r="N6" s="6"/>
    </row>
    <row r="7" spans="1:19" ht="14.4" x14ac:dyDescent="0.3">
      <c r="A7" s="10" t="s">
        <v>113</v>
      </c>
      <c r="K7" s="6"/>
      <c r="L7" s="6"/>
      <c r="M7" s="6"/>
      <c r="N7" s="6"/>
    </row>
    <row r="8" spans="1:19" ht="15.6" x14ac:dyDescent="0.3">
      <c r="A8" t="s">
        <v>114</v>
      </c>
      <c r="F8" s="11">
        <f>195689/100</f>
        <v>1956.89</v>
      </c>
      <c r="G8" s="11">
        <f>210165/100</f>
        <v>2101.65</v>
      </c>
      <c r="H8" s="11">
        <v>1327</v>
      </c>
      <c r="I8" s="11">
        <v>2904</v>
      </c>
      <c r="J8" s="11">
        <v>4447</v>
      </c>
      <c r="K8" s="43">
        <f ca="1">IS!K36</f>
        <v>15659.239750431425</v>
      </c>
      <c r="L8" s="43">
        <f ca="1">IS!L36</f>
        <v>20429.966936928737</v>
      </c>
      <c r="M8" s="43">
        <f ca="1">IS!M36</f>
        <v>26277.491007076103</v>
      </c>
      <c r="N8" s="43">
        <f ca="1">IS!N36</f>
        <v>33461.773551519764</v>
      </c>
    </row>
    <row r="9" spans="1:19" ht="15.6" x14ac:dyDescent="0.3">
      <c r="A9" s="10" t="s">
        <v>115</v>
      </c>
      <c r="F9" s="11"/>
      <c r="G9" s="11"/>
      <c r="H9" s="15"/>
      <c r="I9" s="15"/>
      <c r="J9" s="15"/>
      <c r="K9" s="6"/>
      <c r="L9" s="6"/>
      <c r="M9" s="6"/>
      <c r="N9" s="6"/>
    </row>
    <row r="10" spans="1:19" ht="15.6" x14ac:dyDescent="0.3">
      <c r="A10" t="s">
        <v>116</v>
      </c>
      <c r="F10" s="11">
        <f>16284/100</f>
        <v>162.84</v>
      </c>
      <c r="G10" s="11">
        <f>34796/100</f>
        <v>347.96</v>
      </c>
      <c r="H10" s="11">
        <v>376</v>
      </c>
      <c r="I10" s="11">
        <v>399</v>
      </c>
      <c r="J10" s="11">
        <v>441</v>
      </c>
      <c r="K10" s="43">
        <f>IS!K29</f>
        <v>486.25862068965517</v>
      </c>
      <c r="L10" s="43">
        <f ca="1">IS!L29</f>
        <v>458.12395168476309</v>
      </c>
      <c r="M10" s="43">
        <f ca="1">IS!M29</f>
        <v>483.62743859607912</v>
      </c>
      <c r="N10" s="43">
        <f ca="1">IS!N29</f>
        <v>553.70537577046343</v>
      </c>
    </row>
    <row r="11" spans="1:19" ht="15.6" x14ac:dyDescent="0.3">
      <c r="A11" t="s">
        <v>117</v>
      </c>
      <c r="F11" s="11">
        <f>-144/100</f>
        <v>-1.44</v>
      </c>
      <c r="G11" s="11">
        <f>-74/100</f>
        <v>-0.74</v>
      </c>
      <c r="H11" s="11">
        <v>-2</v>
      </c>
      <c r="I11" s="11">
        <v>-3</v>
      </c>
      <c r="J11" s="11">
        <v>7</v>
      </c>
      <c r="K11" s="6"/>
      <c r="L11" s="6"/>
      <c r="M11" s="6"/>
      <c r="N11" s="6"/>
    </row>
    <row r="12" spans="1:19" ht="15.6" x14ac:dyDescent="0.3">
      <c r="A12" t="s">
        <v>118</v>
      </c>
      <c r="F12" s="11">
        <f>216/100</f>
        <v>2.16</v>
      </c>
      <c r="G12" s="11">
        <f>403/100</f>
        <v>4.03</v>
      </c>
      <c r="H12" s="11">
        <v>5</v>
      </c>
      <c r="I12" s="11">
        <v>0</v>
      </c>
      <c r="J12" s="11">
        <v>-1</v>
      </c>
      <c r="K12" s="6"/>
      <c r="L12" s="6"/>
      <c r="M12" s="6"/>
      <c r="N12" s="6"/>
    </row>
    <row r="13" spans="1:19" ht="15.6" x14ac:dyDescent="0.3">
      <c r="A13" t="s">
        <v>119</v>
      </c>
      <c r="F13" s="11">
        <f>107/100</f>
        <v>1.07</v>
      </c>
      <c r="G13" s="11">
        <f>41/100</f>
        <v>0.41</v>
      </c>
      <c r="H13" s="11">
        <v>0</v>
      </c>
      <c r="I13" s="11">
        <v>2</v>
      </c>
      <c r="J13" s="11">
        <v>1</v>
      </c>
      <c r="K13" s="6"/>
      <c r="L13" s="6"/>
      <c r="M13" s="6"/>
      <c r="N13" s="6"/>
    </row>
    <row r="14" spans="1:19" ht="15.6" x14ac:dyDescent="0.3">
      <c r="A14" t="s">
        <v>120</v>
      </c>
      <c r="D14" s="9" t="s">
        <v>24</v>
      </c>
      <c r="E14" s="9" t="s">
        <v>25</v>
      </c>
      <c r="F14" s="11">
        <f>446/100</f>
        <v>4.46</v>
      </c>
      <c r="G14" s="11">
        <f>-286/100</f>
        <v>-2.86</v>
      </c>
      <c r="H14" s="11">
        <v>6</v>
      </c>
      <c r="I14" s="11">
        <v>3</v>
      </c>
      <c r="J14" s="11">
        <v>3</v>
      </c>
      <c r="K14" s="6"/>
      <c r="L14" s="6"/>
      <c r="M14" s="6"/>
      <c r="N14" s="6"/>
    </row>
    <row r="15" spans="1:19" ht="31.2" x14ac:dyDescent="0.3">
      <c r="A15" s="19" t="s">
        <v>121</v>
      </c>
      <c r="D15" s="9"/>
      <c r="E15" s="9" t="s">
        <v>26</v>
      </c>
      <c r="F15" s="11">
        <f>729/100</f>
        <v>7.29</v>
      </c>
      <c r="G15" s="11">
        <f>393/100</f>
        <v>3.93</v>
      </c>
      <c r="H15" s="11">
        <v>35</v>
      </c>
      <c r="I15" s="11">
        <v>3</v>
      </c>
      <c r="J15" s="11">
        <v>4</v>
      </c>
      <c r="K15" s="6"/>
      <c r="L15" s="6"/>
      <c r="M15" s="6"/>
      <c r="N15" s="6"/>
    </row>
    <row r="16" spans="1:19" ht="15.6" x14ac:dyDescent="0.3">
      <c r="A16" t="s">
        <v>122</v>
      </c>
      <c r="D16" s="9"/>
      <c r="E16" s="9" t="s">
        <v>27</v>
      </c>
      <c r="F16" s="11">
        <f>0</f>
        <v>0</v>
      </c>
      <c r="G16" s="11">
        <v>0</v>
      </c>
      <c r="H16" s="11">
        <v>31</v>
      </c>
      <c r="I16" s="11">
        <v>9</v>
      </c>
      <c r="J16" s="11">
        <v>0</v>
      </c>
      <c r="K16" s="6"/>
      <c r="L16" s="6"/>
      <c r="M16" s="6"/>
      <c r="N16" s="6"/>
    </row>
    <row r="17" spans="1:15" ht="15.6" x14ac:dyDescent="0.3">
      <c r="A17" t="s">
        <v>123</v>
      </c>
      <c r="F17" s="11">
        <f>-10369/100</f>
        <v>-103.69</v>
      </c>
      <c r="G17" s="11">
        <f>-9843/100</f>
        <v>-98.43</v>
      </c>
      <c r="H17" s="11">
        <v>-61</v>
      </c>
      <c r="I17" s="11">
        <v>-96</v>
      </c>
      <c r="J17" s="11">
        <v>-143</v>
      </c>
      <c r="K17" s="6"/>
      <c r="L17" s="6"/>
      <c r="M17" s="6"/>
      <c r="N17" s="6"/>
    </row>
    <row r="18" spans="1:15" ht="31.2" x14ac:dyDescent="0.3">
      <c r="A18" s="19" t="s">
        <v>124</v>
      </c>
      <c r="F18" s="11">
        <f>-4459/100</f>
        <v>-44.59</v>
      </c>
      <c r="G18" s="11">
        <f>-3174/100</f>
        <v>-31.74</v>
      </c>
      <c r="H18" s="11">
        <v>-35</v>
      </c>
      <c r="I18" s="11">
        <v>-87</v>
      </c>
      <c r="J18" s="11">
        <v>-106</v>
      </c>
      <c r="K18" s="6"/>
      <c r="L18" s="6"/>
      <c r="M18" s="6"/>
      <c r="N18" s="6"/>
    </row>
    <row r="19" spans="1:15" ht="15.6" x14ac:dyDescent="0.3">
      <c r="A19" s="19" t="s">
        <v>125</v>
      </c>
      <c r="F19" s="11">
        <f>14500/100</f>
        <v>145</v>
      </c>
      <c r="G19" s="11">
        <f>0</f>
        <v>0</v>
      </c>
      <c r="H19" s="11"/>
      <c r="I19" s="11"/>
      <c r="J19" s="11"/>
      <c r="K19" s="6"/>
      <c r="L19" s="6"/>
      <c r="M19" s="6"/>
      <c r="N19" s="6"/>
    </row>
    <row r="20" spans="1:15" ht="15.6" x14ac:dyDescent="0.3">
      <c r="A20" t="s">
        <v>126</v>
      </c>
      <c r="F20" s="11">
        <f>0</f>
        <v>0</v>
      </c>
      <c r="G20" s="11">
        <v>0</v>
      </c>
      <c r="H20" s="11">
        <v>-22</v>
      </c>
      <c r="I20" s="11">
        <v>0</v>
      </c>
      <c r="J20" s="11"/>
      <c r="K20" s="6"/>
      <c r="L20" s="6"/>
      <c r="M20" s="6"/>
      <c r="N20" s="6"/>
    </row>
    <row r="21" spans="1:15" ht="15.75" customHeight="1" x14ac:dyDescent="0.3">
      <c r="A21" t="s">
        <v>127</v>
      </c>
      <c r="F21" s="11">
        <f>0</f>
        <v>0</v>
      </c>
      <c r="G21" s="11">
        <f>-864/100</f>
        <v>-8.64</v>
      </c>
      <c r="H21" s="11">
        <v>-13</v>
      </c>
      <c r="I21" s="11">
        <v>-20</v>
      </c>
      <c r="J21" s="11">
        <v>-14</v>
      </c>
      <c r="K21" s="6"/>
      <c r="L21" s="6"/>
      <c r="M21" s="6"/>
      <c r="N21" s="6"/>
    </row>
    <row r="22" spans="1:15" ht="15.75" customHeight="1" x14ac:dyDescent="0.3">
      <c r="A22" t="s">
        <v>128</v>
      </c>
      <c r="F22" s="11">
        <f>0</f>
        <v>0</v>
      </c>
      <c r="G22" s="11">
        <v>0</v>
      </c>
      <c r="H22" s="11">
        <v>-61</v>
      </c>
      <c r="I22" s="11">
        <v>-34</v>
      </c>
      <c r="J22" s="11">
        <v>-2</v>
      </c>
      <c r="K22" s="6"/>
      <c r="L22" s="6"/>
      <c r="M22" s="6"/>
      <c r="N22" s="6"/>
    </row>
    <row r="23" spans="1:15" ht="15.75" customHeight="1" x14ac:dyDescent="0.3">
      <c r="A23" t="s">
        <v>129</v>
      </c>
      <c r="F23" s="11">
        <f>5254/100</f>
        <v>52.54</v>
      </c>
      <c r="G23" s="11">
        <f>16617/100</f>
        <v>166.17</v>
      </c>
      <c r="H23" s="11">
        <v>203</v>
      </c>
      <c r="I23" s="11">
        <v>218</v>
      </c>
      <c r="J23" s="11">
        <v>300</v>
      </c>
      <c r="K23" s="6"/>
      <c r="L23" s="6"/>
      <c r="M23" s="6"/>
      <c r="N23" s="6"/>
    </row>
    <row r="24" spans="1:15" ht="15.75" customHeight="1" x14ac:dyDescent="0.3">
      <c r="F24" s="15"/>
      <c r="G24" s="11"/>
      <c r="H24" s="11"/>
      <c r="I24" s="11"/>
      <c r="J24"/>
      <c r="K24" s="6"/>
      <c r="L24" s="6"/>
      <c r="M24" s="6"/>
      <c r="N24" s="6"/>
    </row>
    <row r="25" spans="1:15" ht="15.75" customHeight="1" x14ac:dyDescent="0.3">
      <c r="A25" s="10" t="s">
        <v>130</v>
      </c>
      <c r="F25" s="24">
        <f t="shared" ref="F25:N25" si="1">SUM(F8:F23)</f>
        <v>2182.5299999999997</v>
      </c>
      <c r="G25" s="24">
        <f t="shared" si="1"/>
        <v>2481.7400000000007</v>
      </c>
      <c r="H25" s="24">
        <f t="shared" si="1"/>
        <v>1789</v>
      </c>
      <c r="I25" s="24">
        <f t="shared" si="1"/>
        <v>3298</v>
      </c>
      <c r="J25" s="24">
        <f t="shared" si="1"/>
        <v>4937</v>
      </c>
      <c r="K25" s="43">
        <f t="shared" ca="1" si="1"/>
        <v>16145.498371121081</v>
      </c>
      <c r="L25" s="43">
        <f t="shared" ca="1" si="1"/>
        <v>20888.0908886135</v>
      </c>
      <c r="M25" s="43">
        <f t="shared" ca="1" si="1"/>
        <v>26761.118445672182</v>
      </c>
      <c r="N25" s="43">
        <f t="shared" ca="1" si="1"/>
        <v>34015.478927290227</v>
      </c>
    </row>
    <row r="26" spans="1:15" ht="15.75" customHeight="1" x14ac:dyDescent="0.3">
      <c r="A26" t="s">
        <v>115</v>
      </c>
      <c r="K26" s="6"/>
      <c r="L26" s="6"/>
      <c r="M26" s="6"/>
      <c r="N26" s="6"/>
    </row>
    <row r="27" spans="1:15" ht="15.75" customHeight="1" x14ac:dyDescent="0.3">
      <c r="A27" t="s">
        <v>131</v>
      </c>
      <c r="F27" s="11">
        <f>-13908/100</f>
        <v>-139.08000000000001</v>
      </c>
      <c r="G27" s="11">
        <f>10942/100</f>
        <v>109.42</v>
      </c>
      <c r="H27" s="11">
        <v>-59</v>
      </c>
      <c r="I27" s="11">
        <v>-207</v>
      </c>
      <c r="J27" s="11">
        <v>-112</v>
      </c>
      <c r="K27" s="43">
        <f ca="1">'Balance Sheet'!J30-'Balance Sheet'!K30</f>
        <v>-208.75575648762322</v>
      </c>
      <c r="L27" s="43">
        <f ca="1">'Balance Sheet'!K30-'Balance Sheet'!L30</f>
        <v>-259.3014318455422</v>
      </c>
      <c r="M27" s="43">
        <f ca="1">'Balance Sheet'!L30-'Balance Sheet'!M30</f>
        <v>-321.10801195689601</v>
      </c>
      <c r="N27" s="43">
        <f ca="1">'Balance Sheet'!M30-'Balance Sheet'!N30</f>
        <v>-396.63244376766761</v>
      </c>
      <c r="O27" s="9"/>
    </row>
    <row r="28" spans="1:15" ht="15.75" customHeight="1" x14ac:dyDescent="0.3">
      <c r="A28" t="s">
        <v>132</v>
      </c>
      <c r="F28" s="11">
        <f>-111986/100</f>
        <v>-1119.8599999999999</v>
      </c>
      <c r="G28" s="11">
        <f>-105713/100</f>
        <v>-1057.1300000000001</v>
      </c>
      <c r="H28" s="11">
        <v>-316</v>
      </c>
      <c r="I28" s="11">
        <v>-5199</v>
      </c>
      <c r="J28" s="11">
        <v>-2977</v>
      </c>
      <c r="K28" s="43">
        <f ca="1">'Balance Sheet'!J27-'Balance Sheet'!K27</f>
        <v>8090.8154854322165</v>
      </c>
      <c r="L28" s="43">
        <f ca="1">'Balance Sheet'!K27-'Balance Sheet'!L27</f>
        <v>-2494.7952923223893</v>
      </c>
      <c r="M28" s="43">
        <f ca="1">'Balance Sheet'!L27-'Balance Sheet'!M27</f>
        <v>-3089.4497992369561</v>
      </c>
      <c r="N28" s="43">
        <f ca="1">'Balance Sheet'!M27-'Balance Sheet'!N27</f>
        <v>-3816.0867313811304</v>
      </c>
      <c r="O28" s="9"/>
    </row>
    <row r="29" spans="1:15" ht="15.75" customHeight="1" x14ac:dyDescent="0.3">
      <c r="A29" t="s">
        <v>133</v>
      </c>
      <c r="F29" s="11">
        <f>-2351/100</f>
        <v>-23.51</v>
      </c>
      <c r="G29" s="11">
        <f>-2002/100</f>
        <v>-20.02</v>
      </c>
      <c r="H29" s="11">
        <v>-8</v>
      </c>
      <c r="I29" s="11">
        <v>-3</v>
      </c>
      <c r="J29" s="11">
        <v>-18</v>
      </c>
      <c r="K29" s="6"/>
      <c r="L29" s="6"/>
      <c r="M29" s="6"/>
      <c r="N29" s="6"/>
    </row>
    <row r="30" spans="1:15" ht="15.75" customHeight="1" x14ac:dyDescent="0.3">
      <c r="A30" t="s">
        <v>134</v>
      </c>
      <c r="F30" s="11">
        <f>-1153/100</f>
        <v>-11.53</v>
      </c>
      <c r="G30" s="11">
        <f>-33624/100</f>
        <v>-336.24</v>
      </c>
      <c r="H30" s="11">
        <v>237</v>
      </c>
      <c r="I30" s="11">
        <v>-29</v>
      </c>
      <c r="J30" s="11">
        <v>74</v>
      </c>
      <c r="K30" s="6"/>
      <c r="L30" s="6"/>
      <c r="M30" s="6"/>
      <c r="N30" s="6"/>
    </row>
    <row r="31" spans="1:15" ht="15.75" customHeight="1" x14ac:dyDescent="0.3">
      <c r="A31" t="s">
        <v>135</v>
      </c>
      <c r="F31" s="11">
        <f>-27621/100</f>
        <v>-276.20999999999998</v>
      </c>
      <c r="G31" s="11">
        <f>3571/100</f>
        <v>35.71</v>
      </c>
      <c r="H31" s="11">
        <v>-62</v>
      </c>
      <c r="I31" s="11">
        <v>-223</v>
      </c>
      <c r="J31" s="11">
        <v>-363</v>
      </c>
      <c r="K31" s="6"/>
      <c r="L31" s="6"/>
      <c r="M31" s="6"/>
      <c r="N31" s="6"/>
    </row>
    <row r="32" spans="1:15" ht="15.75" customHeight="1" x14ac:dyDescent="0.3">
      <c r="A32" t="s">
        <v>136</v>
      </c>
      <c r="F32" s="11">
        <f>0</f>
        <v>0</v>
      </c>
      <c r="G32" s="11">
        <f>0</f>
        <v>0</v>
      </c>
      <c r="H32" s="11">
        <f>0</f>
        <v>0</v>
      </c>
      <c r="I32" s="11">
        <f>0</f>
        <v>0</v>
      </c>
      <c r="J32" s="11">
        <v>0</v>
      </c>
      <c r="K32" s="6"/>
      <c r="L32" s="6"/>
      <c r="M32" s="6"/>
      <c r="N32" s="6"/>
    </row>
    <row r="33" spans="1:14" ht="15.75" customHeight="1" x14ac:dyDescent="0.3">
      <c r="A33" t="s">
        <v>137</v>
      </c>
      <c r="F33" s="11">
        <f>0</f>
        <v>0</v>
      </c>
      <c r="G33" s="11">
        <f>0</f>
        <v>0</v>
      </c>
      <c r="H33" s="11">
        <f>0</f>
        <v>0</v>
      </c>
      <c r="I33" s="11">
        <f>0</f>
        <v>0</v>
      </c>
      <c r="J33" s="11"/>
      <c r="K33" s="6"/>
      <c r="L33" s="6"/>
      <c r="M33" s="6"/>
      <c r="N33" s="6"/>
    </row>
    <row r="34" spans="1:14" ht="15.75" customHeight="1" x14ac:dyDescent="0.3">
      <c r="A34" t="s">
        <v>138</v>
      </c>
      <c r="F34" s="11">
        <f>-390/100</f>
        <v>-3.9</v>
      </c>
      <c r="G34" s="11">
        <f>42/100</f>
        <v>0.42</v>
      </c>
      <c r="H34" s="11">
        <v>0</v>
      </c>
      <c r="I34" s="11">
        <v>1</v>
      </c>
      <c r="J34" s="11">
        <v>0</v>
      </c>
      <c r="K34" s="6"/>
      <c r="L34" s="6"/>
      <c r="M34" s="6"/>
      <c r="N34" s="6"/>
    </row>
    <row r="35" spans="1:14" ht="15.75" customHeight="1" x14ac:dyDescent="0.3">
      <c r="A35" t="s">
        <v>139</v>
      </c>
      <c r="F35" s="11">
        <f>74088/100</f>
        <v>740.88</v>
      </c>
      <c r="G35" s="11">
        <f>-76835/100</f>
        <v>-768.35</v>
      </c>
      <c r="H35" s="11">
        <v>2625</v>
      </c>
      <c r="I35" s="11">
        <v>1188</v>
      </c>
      <c r="J35" s="11">
        <v>-99</v>
      </c>
      <c r="K35" s="43">
        <f ca="1">'Balance Sheet'!K60-'Balance Sheet'!J60</f>
        <v>-2257.7005295332001</v>
      </c>
      <c r="L35" s="43">
        <f ca="1">'Balance Sheet'!L60-'Balance Sheet'!K60</f>
        <v>893.35391082684691</v>
      </c>
      <c r="M35" s="43">
        <f ca="1">'Balance Sheet'!M60-'Balance Sheet'!L60</f>
        <v>1106.2919947561359</v>
      </c>
      <c r="N35" s="43">
        <f ca="1">'Balance Sheet'!N60-'Balance Sheet'!M60</f>
        <v>1366.4912772703883</v>
      </c>
    </row>
    <row r="36" spans="1:14" ht="15.75" customHeight="1" x14ac:dyDescent="0.3">
      <c r="A36" t="s">
        <v>140</v>
      </c>
      <c r="F36" s="11">
        <f>3232/100</f>
        <v>32.32</v>
      </c>
      <c r="G36" s="11">
        <f>-30997/100</f>
        <v>-309.97000000000003</v>
      </c>
      <c r="H36" s="11">
        <v>195</v>
      </c>
      <c r="I36" s="11">
        <v>504</v>
      </c>
      <c r="J36" s="11">
        <v>-89</v>
      </c>
      <c r="K36" s="43">
        <f ca="1">'Balance Sheet'!K64-'Balance Sheet'!J64</f>
        <v>522.00807384962786</v>
      </c>
      <c r="L36" s="43">
        <f ca="1">'Balance Sheet'!L64-'Balance Sheet'!K64</f>
        <v>456.76940322081077</v>
      </c>
      <c r="M36" s="43">
        <f ca="1">'Balance Sheet'!M64-'Balance Sheet'!L64</f>
        <v>565.64406122655146</v>
      </c>
      <c r="N36" s="43">
        <f ca="1">'Balance Sheet'!N64-'Balance Sheet'!M64</f>
        <v>698.6832403829012</v>
      </c>
    </row>
    <row r="37" spans="1:14" ht="15.75" customHeight="1" x14ac:dyDescent="0.3">
      <c r="A37" t="s">
        <v>141</v>
      </c>
      <c r="F37" s="11">
        <f>2093/100</f>
        <v>20.93</v>
      </c>
      <c r="G37" s="11">
        <f>-27952/100</f>
        <v>-279.52</v>
      </c>
      <c r="H37" s="11">
        <v>253</v>
      </c>
      <c r="I37" s="11">
        <v>179</v>
      </c>
      <c r="J37" s="11">
        <v>108</v>
      </c>
      <c r="K37" s="6"/>
      <c r="L37" s="6"/>
      <c r="M37" s="6"/>
      <c r="N37" s="6"/>
    </row>
    <row r="38" spans="1:14" ht="15.75" customHeight="1" x14ac:dyDescent="0.3">
      <c r="A38" t="s">
        <v>142</v>
      </c>
      <c r="F38" s="11">
        <f>44642/100</f>
        <v>446.42</v>
      </c>
      <c r="G38" s="11">
        <f>31621/100</f>
        <v>316.20999999999998</v>
      </c>
      <c r="H38" s="11">
        <v>-192</v>
      </c>
      <c r="I38" s="11">
        <v>510</v>
      </c>
      <c r="J38" s="11">
        <v>994</v>
      </c>
      <c r="K38" s="6"/>
      <c r="L38" s="6"/>
      <c r="M38" s="6"/>
      <c r="N38" s="6"/>
    </row>
    <row r="39" spans="1:14" ht="15.75" customHeight="1" x14ac:dyDescent="0.3">
      <c r="A39" t="s">
        <v>143</v>
      </c>
      <c r="F39" s="11">
        <f>2997/100</f>
        <v>29.97</v>
      </c>
      <c r="G39" s="11">
        <f>3798/100</f>
        <v>37.979999999999997</v>
      </c>
      <c r="H39" s="11">
        <v>-52</v>
      </c>
      <c r="I39" s="11">
        <v>59</v>
      </c>
      <c r="J39" s="11">
        <v>69</v>
      </c>
      <c r="K39" s="6"/>
      <c r="L39" s="6"/>
      <c r="M39" s="6"/>
      <c r="N39" s="6"/>
    </row>
    <row r="40" spans="1:14" ht="15.75" customHeight="1" x14ac:dyDescent="0.3">
      <c r="A40" s="10" t="s">
        <v>144</v>
      </c>
      <c r="F40" s="24">
        <f>SUM(F25:F39)</f>
        <v>1878.96</v>
      </c>
      <c r="G40" s="24">
        <f>SUM(G25:G39)</f>
        <v>210.25000000000071</v>
      </c>
      <c r="H40" s="24">
        <v>4410</v>
      </c>
      <c r="I40" s="24">
        <v>78</v>
      </c>
      <c r="J40" s="24">
        <f>SUM(J25:J39)</f>
        <v>2524</v>
      </c>
      <c r="K40" s="6"/>
      <c r="L40" s="6"/>
      <c r="M40" s="6"/>
      <c r="N40" s="6"/>
    </row>
    <row r="41" spans="1:14" ht="15.75" customHeight="1" x14ac:dyDescent="0.3">
      <c r="A41" t="s">
        <v>145</v>
      </c>
      <c r="F41" s="11">
        <f>-63604/100</f>
        <v>-636.04</v>
      </c>
      <c r="G41" s="11">
        <f>-55766/100</f>
        <v>-557.66</v>
      </c>
      <c r="H41" s="11">
        <v>-271</v>
      </c>
      <c r="I41" s="11">
        <v>-802</v>
      </c>
      <c r="J41" s="11">
        <v>-1154</v>
      </c>
      <c r="K41" s="43">
        <f ca="1">IS!K42</f>
        <v>4131.4188545335273</v>
      </c>
      <c r="L41" s="43">
        <f ca="1">IS!L42</f>
        <v>5390.0924914569068</v>
      </c>
      <c r="M41" s="43">
        <f ca="1">IS!M42</f>
        <v>6932.860312933034</v>
      </c>
      <c r="N41" s="43">
        <f ca="1">IS!N42</f>
        <v>8828.3086765480621</v>
      </c>
    </row>
    <row r="42" spans="1:14" ht="15.75" customHeight="1" x14ac:dyDescent="0.3">
      <c r="A42" s="12" t="s">
        <v>146</v>
      </c>
      <c r="F42" s="13">
        <f>SUM(F40:F41)</f>
        <v>1242.92</v>
      </c>
      <c r="G42" s="13">
        <f>SUM(G40:G41)</f>
        <v>-347.40999999999929</v>
      </c>
      <c r="H42" s="13">
        <v>4139</v>
      </c>
      <c r="I42" s="13">
        <v>-724</v>
      </c>
      <c r="J42" s="28">
        <f>SUM(J40:J41)</f>
        <v>1370</v>
      </c>
      <c r="K42" s="43">
        <f t="shared" ref="K42:N42" ca="1" si="2">SUM(K40:K41)</f>
        <v>4131.4188545335273</v>
      </c>
      <c r="L42" s="43">
        <f t="shared" ca="1" si="2"/>
        <v>5390.0924914569068</v>
      </c>
      <c r="M42" s="43">
        <f t="shared" ca="1" si="2"/>
        <v>6932.860312933034</v>
      </c>
      <c r="N42" s="43">
        <f t="shared" ca="1" si="2"/>
        <v>8828.3086765480621</v>
      </c>
    </row>
    <row r="43" spans="1:14" ht="15.75" customHeight="1" x14ac:dyDescent="0.3">
      <c r="K43" s="6"/>
      <c r="L43" s="6"/>
      <c r="M43" s="6"/>
      <c r="N43" s="6"/>
    </row>
    <row r="44" spans="1:14" ht="15.75" customHeight="1" x14ac:dyDescent="0.3">
      <c r="A44" s="10" t="s">
        <v>147</v>
      </c>
      <c r="K44" s="6"/>
      <c r="L44" s="6"/>
      <c r="M44" s="6"/>
      <c r="N44" s="6"/>
    </row>
    <row r="45" spans="1:14" ht="15.75" customHeight="1" x14ac:dyDescent="0.3">
      <c r="A45" s="19" t="s">
        <v>148</v>
      </c>
      <c r="F45" s="11">
        <f>-26472/100</f>
        <v>-264.72000000000003</v>
      </c>
      <c r="G45" s="11">
        <f>-35502/100</f>
        <v>-355.02</v>
      </c>
      <c r="H45" s="11">
        <v>-146</v>
      </c>
      <c r="I45" s="11">
        <v>-224</v>
      </c>
      <c r="J45" s="11">
        <v>-432</v>
      </c>
      <c r="K45" s="43">
        <f ca="1">'Asset Schedule'!K11</f>
        <v>408.55334439042934</v>
      </c>
      <c r="L45" s="43">
        <f ca="1">'Asset Schedule'!L11</f>
        <v>528.56215363030265</v>
      </c>
      <c r="M45" s="43">
        <f ca="1">'Asset Schedule'!M11</f>
        <v>677.17602698247401</v>
      </c>
      <c r="N45" s="43">
        <f ca="1">'Asset Schedule'!N11</f>
        <v>860.74380346437283</v>
      </c>
    </row>
    <row r="46" spans="1:14" ht="15.75" customHeight="1" x14ac:dyDescent="0.3">
      <c r="A46" t="s">
        <v>149</v>
      </c>
      <c r="F46" s="11">
        <f>137/100</f>
        <v>1.37</v>
      </c>
      <c r="G46" s="11">
        <f>945/100</f>
        <v>9.4499999999999993</v>
      </c>
      <c r="H46" s="11">
        <v>7</v>
      </c>
      <c r="I46" s="11">
        <v>8</v>
      </c>
      <c r="J46" s="11">
        <v>12</v>
      </c>
      <c r="K46" s="6"/>
      <c r="L46" s="6"/>
      <c r="M46" s="6"/>
      <c r="N46" s="6"/>
    </row>
    <row r="47" spans="1:14" ht="15.75" customHeight="1" x14ac:dyDescent="0.3">
      <c r="A47" t="s">
        <v>150</v>
      </c>
      <c r="F47" s="11"/>
      <c r="G47" s="11"/>
      <c r="H47" s="11">
        <v>-5</v>
      </c>
      <c r="I47" s="11">
        <v>-100</v>
      </c>
      <c r="J47" s="11">
        <v>-353</v>
      </c>
      <c r="K47" s="6"/>
      <c r="L47" s="6"/>
      <c r="M47" s="6"/>
      <c r="N47" s="6"/>
    </row>
    <row r="48" spans="1:14" ht="15.75" customHeight="1" x14ac:dyDescent="0.3">
      <c r="A48" t="s">
        <v>151</v>
      </c>
      <c r="F48" s="11">
        <f>-91000/100</f>
        <v>-910</v>
      </c>
      <c r="G48" s="11">
        <f>-10000/100</f>
        <v>-100</v>
      </c>
      <c r="H48" s="11">
        <v>-150</v>
      </c>
      <c r="I48" s="11">
        <v>-1094</v>
      </c>
      <c r="J48" s="11">
        <v>-570</v>
      </c>
      <c r="K48" s="6"/>
      <c r="L48" s="6"/>
      <c r="M48" s="6"/>
      <c r="N48" s="6"/>
    </row>
    <row r="49" spans="1:14" ht="15.75" customHeight="1" x14ac:dyDescent="0.3">
      <c r="A49" t="s">
        <v>152</v>
      </c>
      <c r="F49" s="11">
        <f>79500/100</f>
        <v>795</v>
      </c>
      <c r="G49" s="11">
        <f>30000/100</f>
        <v>300</v>
      </c>
      <c r="H49" s="11">
        <v>100</v>
      </c>
      <c r="I49" s="11">
        <v>750</v>
      </c>
      <c r="J49" s="11">
        <v>864</v>
      </c>
      <c r="K49" s="6"/>
      <c r="L49" s="6"/>
      <c r="M49" s="6"/>
      <c r="N49" s="6"/>
    </row>
    <row r="50" spans="1:14" ht="15.75" customHeight="1" x14ac:dyDescent="0.3">
      <c r="A50" t="s">
        <v>153</v>
      </c>
      <c r="F50" s="11">
        <f>-48719/100</f>
        <v>-487.19</v>
      </c>
      <c r="G50" s="11">
        <f>33089/100</f>
        <v>330.89</v>
      </c>
      <c r="H50" s="11">
        <v>-73</v>
      </c>
      <c r="I50" s="11">
        <v>-975</v>
      </c>
      <c r="J50" s="11">
        <v>243</v>
      </c>
      <c r="K50" s="6"/>
      <c r="L50" s="6"/>
      <c r="M50" s="6"/>
      <c r="N50" s="6"/>
    </row>
    <row r="51" spans="1:14" ht="15.75" customHeight="1" x14ac:dyDescent="0.3">
      <c r="A51" t="s">
        <v>154</v>
      </c>
      <c r="F51" s="11">
        <f>0</f>
        <v>0</v>
      </c>
      <c r="G51" s="11">
        <f>0</f>
        <v>0</v>
      </c>
      <c r="H51" s="11">
        <v>43</v>
      </c>
      <c r="I51" s="11">
        <v>0</v>
      </c>
      <c r="J51" s="11"/>
      <c r="K51" s="6"/>
      <c r="L51" s="6"/>
      <c r="M51" s="6"/>
      <c r="N51" s="6"/>
    </row>
    <row r="52" spans="1:14" ht="15.75" customHeight="1" x14ac:dyDescent="0.3">
      <c r="A52" t="s">
        <v>155</v>
      </c>
      <c r="F52" s="11">
        <f>0</f>
        <v>0</v>
      </c>
      <c r="G52" s="11">
        <f>-3874/100</f>
        <v>-38.74</v>
      </c>
      <c r="H52" s="11">
        <v>0</v>
      </c>
      <c r="I52" s="11">
        <v>-153</v>
      </c>
      <c r="J52" s="11">
        <v>-1</v>
      </c>
      <c r="K52" s="6"/>
      <c r="L52" s="6"/>
      <c r="M52" s="6"/>
      <c r="N52" s="6"/>
    </row>
    <row r="53" spans="1:14" ht="15.75" customHeight="1" x14ac:dyDescent="0.3">
      <c r="A53" t="s">
        <v>156</v>
      </c>
      <c r="F53" s="11">
        <f>-3587/100</f>
        <v>-35.869999999999997</v>
      </c>
      <c r="G53" s="11">
        <f>-1260/100</f>
        <v>-12.6</v>
      </c>
      <c r="H53" s="11">
        <v>-2651</v>
      </c>
      <c r="I53" s="11">
        <v>2870</v>
      </c>
      <c r="J53" s="11">
        <v>-1750</v>
      </c>
      <c r="K53" s="6"/>
      <c r="L53" s="6"/>
      <c r="M53" s="6"/>
      <c r="N53" s="6"/>
    </row>
    <row r="54" spans="1:14" ht="15.75" customHeight="1" x14ac:dyDescent="0.3">
      <c r="A54" t="s">
        <v>157</v>
      </c>
      <c r="F54" s="11">
        <f>0</f>
        <v>0</v>
      </c>
      <c r="G54" s="11">
        <f>0</f>
        <v>0</v>
      </c>
      <c r="H54" s="11">
        <v>-97</v>
      </c>
      <c r="I54" s="11">
        <v>-34</v>
      </c>
      <c r="J54" s="11">
        <v>3</v>
      </c>
      <c r="K54" s="6"/>
      <c r="L54" s="6"/>
      <c r="M54" s="6"/>
      <c r="N54" s="6"/>
    </row>
    <row r="55" spans="1:14" ht="15.75" customHeight="1" x14ac:dyDescent="0.3">
      <c r="A55" s="19" t="s">
        <v>158</v>
      </c>
      <c r="F55" s="11">
        <f>0</f>
        <v>0</v>
      </c>
      <c r="G55" s="11">
        <f>0</f>
        <v>0</v>
      </c>
      <c r="H55" s="11">
        <v>94</v>
      </c>
      <c r="I55" s="11">
        <v>34</v>
      </c>
      <c r="J55" s="11">
        <v>0</v>
      </c>
      <c r="K55" s="6"/>
      <c r="L55" s="6"/>
      <c r="M55" s="6"/>
      <c r="N55" s="6"/>
    </row>
    <row r="56" spans="1:14" ht="15.75" customHeight="1" x14ac:dyDescent="0.3">
      <c r="A56" s="19" t="s">
        <v>159</v>
      </c>
      <c r="F56" s="11">
        <f>1821/100</f>
        <v>18.21</v>
      </c>
      <c r="G56" s="11">
        <f>0</f>
        <v>0</v>
      </c>
      <c r="H56" s="11">
        <f>0</f>
        <v>0</v>
      </c>
      <c r="I56" s="11">
        <f>0</f>
        <v>0</v>
      </c>
      <c r="J56" s="11"/>
      <c r="K56" s="6"/>
      <c r="L56" s="6"/>
      <c r="M56" s="6"/>
      <c r="N56" s="6"/>
    </row>
    <row r="57" spans="1:14" ht="15.75" customHeight="1" x14ac:dyDescent="0.3">
      <c r="A57" s="19" t="s">
        <v>160</v>
      </c>
      <c r="F57" s="11">
        <f>0</f>
        <v>0</v>
      </c>
      <c r="G57" s="11">
        <f>2823/100</f>
        <v>28.23</v>
      </c>
      <c r="H57" s="11">
        <v>28</v>
      </c>
      <c r="I57" s="11">
        <v>26</v>
      </c>
      <c r="J57" s="11">
        <v>30</v>
      </c>
      <c r="K57" s="6"/>
      <c r="L57" s="6"/>
      <c r="M57" s="6"/>
      <c r="N57" s="6"/>
    </row>
    <row r="58" spans="1:14" ht="15.75" customHeight="1" x14ac:dyDescent="0.3">
      <c r="A58" t="s">
        <v>161</v>
      </c>
      <c r="F58" s="11">
        <f>8486/100</f>
        <v>84.86</v>
      </c>
      <c r="G58" s="11">
        <f>7278/100</f>
        <v>72.78</v>
      </c>
      <c r="H58" s="11">
        <v>49</v>
      </c>
      <c r="I58" s="11">
        <v>56</v>
      </c>
      <c r="J58" s="11">
        <v>143</v>
      </c>
      <c r="K58" s="6"/>
      <c r="L58" s="6"/>
      <c r="M58" s="6"/>
      <c r="N58" s="6"/>
    </row>
    <row r="59" spans="1:14" ht="15.75" customHeight="1" x14ac:dyDescent="0.3">
      <c r="A59" s="19" t="s">
        <v>162</v>
      </c>
      <c r="F59" s="11"/>
      <c r="G59" s="11"/>
      <c r="H59" s="11"/>
      <c r="I59" s="11"/>
      <c r="J59" s="11"/>
      <c r="K59" s="6"/>
      <c r="L59" s="6"/>
      <c r="M59" s="6"/>
      <c r="N59" s="6"/>
    </row>
    <row r="60" spans="1:14" ht="15.75" customHeight="1" x14ac:dyDescent="0.3">
      <c r="A60" s="12" t="s">
        <v>163</v>
      </c>
      <c r="F60" s="13">
        <f t="shared" ref="F60:N60" si="3">SUM(F45:F58)</f>
        <v>-798.33999999999992</v>
      </c>
      <c r="G60" s="13">
        <f t="shared" si="3"/>
        <v>234.98999999999998</v>
      </c>
      <c r="H60" s="13">
        <f t="shared" si="3"/>
        <v>-2801</v>
      </c>
      <c r="I60" s="13">
        <f t="shared" si="3"/>
        <v>1164</v>
      </c>
      <c r="J60" s="13">
        <f t="shared" si="3"/>
        <v>-1811</v>
      </c>
      <c r="K60" s="43">
        <f t="shared" ca="1" si="3"/>
        <v>408.55334439042934</v>
      </c>
      <c r="L60" s="43">
        <f t="shared" ca="1" si="3"/>
        <v>528.56215363030265</v>
      </c>
      <c r="M60" s="43">
        <f t="shared" ca="1" si="3"/>
        <v>677.17602698247401</v>
      </c>
      <c r="N60" s="43">
        <f t="shared" ca="1" si="3"/>
        <v>860.74380346437283</v>
      </c>
    </row>
    <row r="61" spans="1:14" ht="15.75" customHeight="1" x14ac:dyDescent="0.3">
      <c r="K61" s="6"/>
      <c r="L61" s="6"/>
      <c r="M61" s="6"/>
      <c r="N61" s="6"/>
    </row>
    <row r="62" spans="1:14" ht="15.75" customHeight="1" x14ac:dyDescent="0.3">
      <c r="A62" s="10" t="s">
        <v>164</v>
      </c>
      <c r="K62" s="6"/>
      <c r="L62" s="6"/>
      <c r="M62" s="6"/>
      <c r="N62" s="6"/>
    </row>
    <row r="63" spans="1:14" ht="15.75" customHeight="1" x14ac:dyDescent="0.3">
      <c r="A63" t="s">
        <v>165</v>
      </c>
      <c r="F63" s="11">
        <f>0</f>
        <v>0</v>
      </c>
      <c r="G63" s="11">
        <f>0</f>
        <v>0</v>
      </c>
      <c r="H63" s="11">
        <v>-12</v>
      </c>
      <c r="I63" s="11">
        <v>-7</v>
      </c>
      <c r="J63" s="11">
        <v>-7</v>
      </c>
      <c r="K63" s="6"/>
      <c r="L63" s="6"/>
      <c r="M63" s="6"/>
      <c r="N63" s="6"/>
    </row>
    <row r="64" spans="1:14" ht="15.75" customHeight="1" x14ac:dyDescent="0.3">
      <c r="A64" t="s">
        <v>166</v>
      </c>
      <c r="F64" s="11">
        <f>-3891/100</f>
        <v>-38.909999999999997</v>
      </c>
      <c r="G64" s="11">
        <f>69340/100</f>
        <v>693.4</v>
      </c>
      <c r="H64" s="11">
        <v>-550</v>
      </c>
      <c r="I64" s="11">
        <v>349</v>
      </c>
      <c r="J64" s="11">
        <v>1684</v>
      </c>
      <c r="K64" s="6"/>
      <c r="L64" s="6"/>
      <c r="M64" s="6"/>
      <c r="N64" s="6"/>
    </row>
    <row r="65" spans="1:14" ht="15.75" customHeight="1" x14ac:dyDescent="0.3">
      <c r="A65" t="s">
        <v>167</v>
      </c>
      <c r="F65" s="11">
        <f>-39738/100</f>
        <v>-397.38</v>
      </c>
      <c r="G65" s="11">
        <f>-53557/100</f>
        <v>-535.57000000000005</v>
      </c>
      <c r="H65" s="11">
        <v>-355</v>
      </c>
      <c r="I65" s="11">
        <v>-355</v>
      </c>
      <c r="J65" s="11">
        <v>-666</v>
      </c>
      <c r="K65" s="6"/>
      <c r="L65" s="6"/>
      <c r="M65" s="6"/>
      <c r="N65" s="6"/>
    </row>
    <row r="66" spans="1:14" ht="15.75" customHeight="1" x14ac:dyDescent="0.3">
      <c r="A66" t="s">
        <v>168</v>
      </c>
      <c r="F66" s="11">
        <f>0</f>
        <v>0</v>
      </c>
      <c r="G66" s="11">
        <f>-23333/100</f>
        <v>-233.33</v>
      </c>
      <c r="H66" s="11">
        <v>-114</v>
      </c>
      <c r="I66" s="11">
        <v>-172</v>
      </c>
      <c r="J66" s="11">
        <v>-254</v>
      </c>
      <c r="K66" s="6"/>
      <c r="L66" s="6"/>
      <c r="M66" s="6"/>
      <c r="N66" s="6"/>
    </row>
    <row r="67" spans="1:14" ht="15.75" customHeight="1" x14ac:dyDescent="0.3">
      <c r="A67" t="s">
        <v>169</v>
      </c>
      <c r="F67" s="11">
        <f>-5254/100</f>
        <v>-52.54</v>
      </c>
      <c r="G67" s="11">
        <f>-16617/100</f>
        <v>-166.17</v>
      </c>
      <c r="H67" s="11">
        <v>-203</v>
      </c>
      <c r="I67" s="11">
        <v>-218</v>
      </c>
      <c r="J67" s="11">
        <v>-300</v>
      </c>
      <c r="K67" s="6"/>
      <c r="L67" s="6"/>
      <c r="M67" s="6"/>
      <c r="N67" s="6"/>
    </row>
    <row r="68" spans="1:14" ht="15.75" customHeight="1" x14ac:dyDescent="0.3">
      <c r="A68" s="10" t="s">
        <v>170</v>
      </c>
      <c r="F68" s="24">
        <f t="shared" ref="F68:J68" si="4">SUM(F63:F67)</f>
        <v>-488.83</v>
      </c>
      <c r="G68" s="24">
        <f t="shared" si="4"/>
        <v>-241.67000000000007</v>
      </c>
      <c r="H68" s="24">
        <f t="shared" si="4"/>
        <v>-1234</v>
      </c>
      <c r="I68" s="24">
        <f t="shared" si="4"/>
        <v>-403</v>
      </c>
      <c r="J68" s="24">
        <f t="shared" si="4"/>
        <v>457</v>
      </c>
      <c r="K68" s="43">
        <f t="shared" ref="K68:N68" si="5">SUM(K63:K67)</f>
        <v>0</v>
      </c>
      <c r="L68" s="43">
        <f t="shared" si="5"/>
        <v>0</v>
      </c>
      <c r="M68" s="43">
        <f t="shared" si="5"/>
        <v>0</v>
      </c>
      <c r="N68" s="43">
        <f t="shared" si="5"/>
        <v>0</v>
      </c>
    </row>
    <row r="69" spans="1:14" ht="15.75" customHeight="1" x14ac:dyDescent="0.3">
      <c r="A69" s="27" t="s">
        <v>171</v>
      </c>
      <c r="F69" s="24">
        <f t="shared" ref="F69:J69" si="6">SUM(F42,F60,F68)</f>
        <v>-44.249999999999829</v>
      </c>
      <c r="G69" s="24">
        <f t="shared" si="6"/>
        <v>-354.08999999999935</v>
      </c>
      <c r="H69" s="24">
        <f t="shared" si="6"/>
        <v>104</v>
      </c>
      <c r="I69" s="24">
        <f t="shared" si="6"/>
        <v>37</v>
      </c>
      <c r="J69" s="24">
        <f t="shared" si="6"/>
        <v>16</v>
      </c>
      <c r="K69" s="43">
        <f t="shared" ref="K69:N69" ca="1" si="7">SUM(K42,K60,K68)</f>
        <v>4539.972198923957</v>
      </c>
      <c r="L69" s="43">
        <f t="shared" ca="1" si="7"/>
        <v>5918.6546450872092</v>
      </c>
      <c r="M69" s="43">
        <f t="shared" ca="1" si="7"/>
        <v>7610.0363399155085</v>
      </c>
      <c r="N69" s="43">
        <f t="shared" ca="1" si="7"/>
        <v>9689.0524800124349</v>
      </c>
    </row>
    <row r="70" spans="1:14" ht="15.75" customHeight="1" x14ac:dyDescent="0.3">
      <c r="A70" s="10" t="s">
        <v>172</v>
      </c>
      <c r="F70" s="11">
        <f>47205/100</f>
        <v>472.05</v>
      </c>
      <c r="G70" s="11">
        <f>42953/100</f>
        <v>429.53</v>
      </c>
      <c r="H70" s="11">
        <v>75</v>
      </c>
      <c r="I70" s="11">
        <v>181</v>
      </c>
      <c r="J70" s="11">
        <f>I73</f>
        <v>219</v>
      </c>
      <c r="K70" s="43">
        <f>J73</f>
        <v>232</v>
      </c>
      <c r="L70" s="43">
        <f t="shared" ref="L70:N70" ca="1" si="8">K73</f>
        <v>4771.972198923957</v>
      </c>
      <c r="M70" s="43">
        <f t="shared" ca="1" si="8"/>
        <v>10690.626844011167</v>
      </c>
      <c r="N70" s="43">
        <f t="shared" ca="1" si="8"/>
        <v>18300.663183926677</v>
      </c>
    </row>
    <row r="71" spans="1:14" ht="15.75" customHeight="1" x14ac:dyDescent="0.3">
      <c r="A71" t="s">
        <v>173</v>
      </c>
      <c r="F71" s="16">
        <f>0</f>
        <v>0</v>
      </c>
      <c r="G71" s="16">
        <f>0</f>
        <v>0</v>
      </c>
      <c r="H71" s="16">
        <f>0</f>
        <v>0</v>
      </c>
      <c r="I71" s="16">
        <f>0</f>
        <v>0</v>
      </c>
      <c r="J71" s="16"/>
      <c r="K71" s="6"/>
      <c r="L71" s="6"/>
      <c r="M71" s="6"/>
      <c r="N71" s="6"/>
    </row>
    <row r="72" spans="1:14" ht="15.75" customHeight="1" x14ac:dyDescent="0.3">
      <c r="A72" t="s">
        <v>174</v>
      </c>
      <c r="F72" s="11">
        <f>173/100</f>
        <v>1.73</v>
      </c>
      <c r="G72" s="11">
        <f>5/100</f>
        <v>0.05</v>
      </c>
      <c r="H72" s="11">
        <v>2</v>
      </c>
      <c r="I72" s="11">
        <v>1</v>
      </c>
      <c r="J72" s="11">
        <v>-3</v>
      </c>
      <c r="K72" s="6"/>
      <c r="L72" s="6"/>
      <c r="M72" s="6"/>
      <c r="N72" s="6"/>
    </row>
    <row r="73" spans="1:14" ht="15.75" customHeight="1" x14ac:dyDescent="0.3">
      <c r="A73" s="12" t="s">
        <v>175</v>
      </c>
      <c r="F73" s="13">
        <f t="shared" ref="F73:N73" si="9">SUM(F69:F72)</f>
        <v>429.5300000000002</v>
      </c>
      <c r="G73" s="13">
        <f t="shared" si="9"/>
        <v>75.49000000000062</v>
      </c>
      <c r="H73" s="13">
        <f t="shared" si="9"/>
        <v>181</v>
      </c>
      <c r="I73" s="13">
        <f t="shared" si="9"/>
        <v>219</v>
      </c>
      <c r="J73" s="13">
        <f t="shared" si="9"/>
        <v>232</v>
      </c>
      <c r="K73" s="43">
        <f t="shared" ca="1" si="9"/>
        <v>4771.972198923957</v>
      </c>
      <c r="L73" s="43">
        <f t="shared" ca="1" si="9"/>
        <v>10690.626844011167</v>
      </c>
      <c r="M73" s="43">
        <f t="shared" ca="1" si="9"/>
        <v>18300.663183926677</v>
      </c>
      <c r="N73" s="43">
        <f t="shared" ca="1" si="9"/>
        <v>27989.715663939111</v>
      </c>
    </row>
    <row r="74" spans="1:14" ht="15.75" customHeight="1" x14ac:dyDescent="0.3">
      <c r="A74" s="10" t="s">
        <v>176</v>
      </c>
      <c r="K74" s="6"/>
      <c r="L74" s="6"/>
      <c r="M74" s="6"/>
      <c r="N74" s="6"/>
    </row>
    <row r="75" spans="1:14" ht="15.75" customHeight="1" x14ac:dyDescent="0.3">
      <c r="K75" s="6"/>
      <c r="L75" s="6"/>
      <c r="M75" s="6"/>
      <c r="N75" s="6"/>
    </row>
    <row r="76" spans="1:14" ht="15.75" customHeight="1" x14ac:dyDescent="0.3">
      <c r="K76" s="6"/>
      <c r="L76" s="6"/>
      <c r="M76" s="6"/>
      <c r="N76" s="6"/>
    </row>
    <row r="77" spans="1:14" ht="15.75" customHeight="1" x14ac:dyDescent="0.3">
      <c r="K77" s="6"/>
      <c r="L77" s="6"/>
      <c r="M77" s="6"/>
      <c r="N77" s="6"/>
    </row>
    <row r="78" spans="1:14" ht="15.75" customHeight="1" x14ac:dyDescent="0.3">
      <c r="K78" s="6"/>
      <c r="L78" s="6"/>
      <c r="M78" s="6"/>
      <c r="N78" s="6"/>
    </row>
    <row r="79" spans="1:14" ht="15.75" customHeight="1" x14ac:dyDescent="0.3">
      <c r="K79" s="6"/>
      <c r="L79" s="6"/>
      <c r="M79" s="6"/>
      <c r="N79" s="6"/>
    </row>
    <row r="80" spans="1:14" ht="15.75" customHeight="1" x14ac:dyDescent="0.3">
      <c r="K80" s="6"/>
      <c r="L80" s="6"/>
      <c r="M80" s="6"/>
      <c r="N80" s="6"/>
    </row>
    <row r="81" spans="11:14" ht="15.75" customHeight="1" x14ac:dyDescent="0.3">
      <c r="K81" s="6"/>
      <c r="L81" s="6"/>
      <c r="M81" s="6"/>
      <c r="N81" s="6"/>
    </row>
    <row r="82" spans="11:14" ht="15.75" customHeight="1" x14ac:dyDescent="0.3">
      <c r="K82" s="6"/>
      <c r="L82" s="6"/>
      <c r="M82" s="6"/>
      <c r="N82" s="6"/>
    </row>
    <row r="83" spans="11:14" ht="15.75" customHeight="1" x14ac:dyDescent="0.3">
      <c r="K83" s="6"/>
      <c r="L83" s="6"/>
      <c r="M83" s="6"/>
      <c r="N83" s="6"/>
    </row>
    <row r="84" spans="11:14" ht="15.75" customHeight="1" x14ac:dyDescent="0.3">
      <c r="K84" s="6"/>
      <c r="L84" s="6"/>
      <c r="M84" s="6"/>
      <c r="N84" s="6"/>
    </row>
    <row r="85" spans="11:14" ht="15.75" customHeight="1" x14ac:dyDescent="0.3">
      <c r="K85" s="6"/>
      <c r="L85" s="6"/>
      <c r="M85" s="6"/>
      <c r="N85" s="6"/>
    </row>
    <row r="86" spans="11:14" ht="15.75" customHeight="1" x14ac:dyDescent="0.3">
      <c r="K86" s="6"/>
      <c r="L86" s="6"/>
      <c r="M86" s="6"/>
      <c r="N86" s="6"/>
    </row>
    <row r="87" spans="11:14" ht="15.75" customHeight="1" x14ac:dyDescent="0.3">
      <c r="K87" s="6"/>
      <c r="L87" s="6"/>
      <c r="M87" s="6"/>
      <c r="N87" s="6"/>
    </row>
    <row r="88" spans="11:14" ht="15.75" customHeight="1" x14ac:dyDescent="0.3">
      <c r="K88" s="6"/>
      <c r="L88" s="6"/>
      <c r="M88" s="6"/>
      <c r="N88" s="6"/>
    </row>
    <row r="89" spans="11:14" ht="15.75" customHeight="1" x14ac:dyDescent="0.3">
      <c r="K89" s="6"/>
      <c r="L89" s="6"/>
      <c r="M89" s="6"/>
      <c r="N89" s="6"/>
    </row>
    <row r="90" spans="11:14" ht="15.75" customHeight="1" x14ac:dyDescent="0.3">
      <c r="K90" s="6"/>
      <c r="L90" s="6"/>
      <c r="M90" s="6"/>
      <c r="N90" s="6"/>
    </row>
    <row r="91" spans="11:14" ht="15.75" customHeight="1" x14ac:dyDescent="0.3">
      <c r="K91" s="6"/>
      <c r="L91" s="6"/>
      <c r="M91" s="6"/>
      <c r="N91" s="6"/>
    </row>
    <row r="92" spans="11:14" ht="15.75" customHeight="1" x14ac:dyDescent="0.3">
      <c r="K92" s="6"/>
      <c r="L92" s="6"/>
      <c r="M92" s="6"/>
      <c r="N92" s="6"/>
    </row>
    <row r="93" spans="11:14" ht="15.75" customHeight="1" x14ac:dyDescent="0.3">
      <c r="K93" s="6"/>
      <c r="L93" s="6"/>
      <c r="M93" s="6"/>
      <c r="N93" s="6"/>
    </row>
    <row r="94" spans="11:14" ht="15.75" customHeight="1" x14ac:dyDescent="0.3">
      <c r="K94" s="6"/>
      <c r="L94" s="6"/>
      <c r="M94" s="6"/>
      <c r="N94" s="6"/>
    </row>
    <row r="95" spans="11:14" ht="15.75" customHeight="1" x14ac:dyDescent="0.3">
      <c r="K95" s="6"/>
      <c r="L95" s="6"/>
      <c r="M95" s="6"/>
      <c r="N95" s="6"/>
    </row>
    <row r="96" spans="11:14" ht="15.75" customHeight="1" x14ac:dyDescent="0.3">
      <c r="K96" s="6"/>
      <c r="L96" s="6"/>
      <c r="M96" s="6"/>
      <c r="N96" s="6"/>
    </row>
    <row r="97" spans="11:14" ht="15.75" customHeight="1" x14ac:dyDescent="0.3">
      <c r="K97" s="6"/>
      <c r="L97" s="6"/>
      <c r="M97" s="6"/>
      <c r="N97" s="6"/>
    </row>
    <row r="98" spans="11:14" ht="15.75" customHeight="1" x14ac:dyDescent="0.3">
      <c r="K98" s="6"/>
      <c r="L98" s="6"/>
      <c r="M98" s="6"/>
      <c r="N98" s="6"/>
    </row>
    <row r="99" spans="11:14" ht="15.75" customHeight="1" x14ac:dyDescent="0.3">
      <c r="K99" s="6"/>
      <c r="L99" s="6"/>
      <c r="M99" s="6"/>
      <c r="N99" s="6"/>
    </row>
    <row r="100" spans="11:14" ht="15.75" customHeight="1" x14ac:dyDescent="0.3">
      <c r="K100" s="6"/>
      <c r="L100" s="6"/>
      <c r="M100" s="6"/>
      <c r="N100" s="6"/>
    </row>
    <row r="101" spans="11:14" ht="15.75" customHeight="1" x14ac:dyDescent="0.3">
      <c r="K101" s="6"/>
      <c r="L101" s="6"/>
      <c r="M101" s="6"/>
      <c r="N101" s="6"/>
    </row>
    <row r="102" spans="11:14" ht="15.75" customHeight="1" x14ac:dyDescent="0.3">
      <c r="K102" s="6"/>
      <c r="L102" s="6"/>
      <c r="M102" s="6"/>
      <c r="N102" s="6"/>
    </row>
    <row r="103" spans="11:14" ht="15.75" customHeight="1" x14ac:dyDescent="0.3">
      <c r="K103" s="6"/>
      <c r="L103" s="6"/>
      <c r="M103" s="6"/>
      <c r="N103" s="6"/>
    </row>
    <row r="104" spans="11:14" ht="15.75" customHeight="1" x14ac:dyDescent="0.3">
      <c r="K104" s="6"/>
      <c r="L104" s="6"/>
      <c r="M104" s="6"/>
      <c r="N104" s="6"/>
    </row>
    <row r="105" spans="11:14" ht="15.75" customHeight="1" x14ac:dyDescent="0.3">
      <c r="K105" s="6"/>
      <c r="L105" s="6"/>
      <c r="M105" s="6"/>
      <c r="N105" s="6"/>
    </row>
    <row r="106" spans="11:14" ht="15.75" customHeight="1" x14ac:dyDescent="0.3">
      <c r="K106" s="6"/>
      <c r="L106" s="6"/>
      <c r="M106" s="6"/>
      <c r="N106" s="6"/>
    </row>
    <row r="107" spans="11:14" ht="15.75" customHeight="1" x14ac:dyDescent="0.3">
      <c r="K107" s="6"/>
      <c r="L107" s="6"/>
      <c r="M107" s="6"/>
      <c r="N107" s="6"/>
    </row>
    <row r="108" spans="11:14" ht="15.75" customHeight="1" x14ac:dyDescent="0.3">
      <c r="K108" s="6"/>
      <c r="L108" s="6"/>
      <c r="M108" s="6"/>
      <c r="N108" s="6"/>
    </row>
    <row r="109" spans="11:14" ht="15.75" customHeight="1" x14ac:dyDescent="0.3">
      <c r="K109" s="6"/>
      <c r="L109" s="6"/>
      <c r="M109" s="6"/>
      <c r="N109" s="6"/>
    </row>
    <row r="110" spans="11:14" ht="15.75" customHeight="1" x14ac:dyDescent="0.3">
      <c r="K110" s="6"/>
      <c r="L110" s="6"/>
      <c r="M110" s="6"/>
      <c r="N110" s="6"/>
    </row>
    <row r="111" spans="11:14" ht="15.75" customHeight="1" x14ac:dyDescent="0.3">
      <c r="K111" s="6"/>
      <c r="L111" s="6"/>
      <c r="M111" s="6"/>
      <c r="N111" s="6"/>
    </row>
    <row r="112" spans="11:14" ht="15.75" customHeight="1" x14ac:dyDescent="0.3">
      <c r="K112" s="6"/>
      <c r="L112" s="6"/>
      <c r="M112" s="6"/>
      <c r="N112" s="6"/>
    </row>
    <row r="113" spans="11:14" ht="15.75" customHeight="1" x14ac:dyDescent="0.3">
      <c r="K113" s="6"/>
      <c r="L113" s="6"/>
      <c r="M113" s="6"/>
      <c r="N113" s="6"/>
    </row>
    <row r="114" spans="11:14" ht="15.75" customHeight="1" x14ac:dyDescent="0.3">
      <c r="K114" s="6"/>
      <c r="L114" s="6"/>
      <c r="M114" s="6"/>
      <c r="N114" s="6"/>
    </row>
    <row r="115" spans="11:14" ht="15.75" customHeight="1" x14ac:dyDescent="0.3">
      <c r="K115" s="6"/>
      <c r="L115" s="6"/>
      <c r="M115" s="6"/>
      <c r="N115" s="6"/>
    </row>
    <row r="116" spans="11:14" ht="15.75" customHeight="1" x14ac:dyDescent="0.3">
      <c r="K116" s="6"/>
      <c r="L116" s="6"/>
      <c r="M116" s="6"/>
      <c r="N116" s="6"/>
    </row>
    <row r="117" spans="11:14" ht="15.75" customHeight="1" x14ac:dyDescent="0.3">
      <c r="K117" s="6"/>
      <c r="L117" s="6"/>
      <c r="M117" s="6"/>
      <c r="N117" s="6"/>
    </row>
    <row r="118" spans="11:14" ht="15.75" customHeight="1" x14ac:dyDescent="0.3">
      <c r="K118" s="6"/>
      <c r="L118" s="6"/>
      <c r="M118" s="6"/>
      <c r="N118" s="6"/>
    </row>
    <row r="119" spans="11:14" ht="15.75" customHeight="1" x14ac:dyDescent="0.3">
      <c r="K119" s="6"/>
      <c r="L119" s="6"/>
      <c r="M119" s="6"/>
      <c r="N119" s="6"/>
    </row>
    <row r="120" spans="11:14" ht="15.75" customHeight="1" x14ac:dyDescent="0.3">
      <c r="K120" s="6"/>
      <c r="L120" s="6"/>
      <c r="M120" s="6"/>
      <c r="N120" s="6"/>
    </row>
    <row r="121" spans="11:14" ht="15.75" customHeight="1" x14ac:dyDescent="0.3">
      <c r="K121" s="6"/>
      <c r="L121" s="6"/>
      <c r="M121" s="6"/>
      <c r="N121" s="6"/>
    </row>
    <row r="122" spans="11:14" ht="15.75" customHeight="1" x14ac:dyDescent="0.3">
      <c r="K122" s="6"/>
      <c r="L122" s="6"/>
      <c r="M122" s="6"/>
      <c r="N122" s="6"/>
    </row>
    <row r="123" spans="11:14" ht="15.75" customHeight="1" x14ac:dyDescent="0.3">
      <c r="K123" s="6"/>
      <c r="L123" s="6"/>
      <c r="M123" s="6"/>
      <c r="N123" s="6"/>
    </row>
    <row r="124" spans="11:14" ht="15.75" customHeight="1" x14ac:dyDescent="0.3">
      <c r="K124" s="6"/>
      <c r="L124" s="6"/>
      <c r="M124" s="6"/>
      <c r="N124" s="6"/>
    </row>
    <row r="125" spans="11:14" ht="15.75" customHeight="1" x14ac:dyDescent="0.3">
      <c r="K125" s="6"/>
      <c r="L125" s="6"/>
      <c r="M125" s="6"/>
      <c r="N125" s="6"/>
    </row>
    <row r="126" spans="11:14" ht="15.75" customHeight="1" x14ac:dyDescent="0.3">
      <c r="K126" s="6"/>
      <c r="L126" s="6"/>
      <c r="M126" s="6"/>
      <c r="N126" s="6"/>
    </row>
    <row r="127" spans="11:14" ht="15.75" customHeight="1" x14ac:dyDescent="0.3">
      <c r="K127" s="6"/>
      <c r="L127" s="6"/>
      <c r="M127" s="6"/>
      <c r="N127" s="6"/>
    </row>
    <row r="128" spans="11:14" ht="15.75" customHeight="1" x14ac:dyDescent="0.3">
      <c r="K128" s="6"/>
      <c r="L128" s="6"/>
      <c r="M128" s="6"/>
      <c r="N128" s="6"/>
    </row>
    <row r="129" spans="11:14" ht="15.75" customHeight="1" x14ac:dyDescent="0.3">
      <c r="K129" s="6"/>
      <c r="L129" s="6"/>
      <c r="M129" s="6"/>
      <c r="N129" s="6"/>
    </row>
    <row r="130" spans="11:14" ht="15.75" customHeight="1" x14ac:dyDescent="0.3">
      <c r="K130" s="6"/>
      <c r="L130" s="6"/>
      <c r="M130" s="6"/>
      <c r="N130" s="6"/>
    </row>
    <row r="131" spans="11:14" ht="15.75" customHeight="1" x14ac:dyDescent="0.3">
      <c r="K131" s="6"/>
      <c r="L131" s="6"/>
      <c r="M131" s="6"/>
      <c r="N131" s="6"/>
    </row>
    <row r="132" spans="11:14" ht="15.75" customHeight="1" x14ac:dyDescent="0.3">
      <c r="K132" s="6"/>
      <c r="L132" s="6"/>
      <c r="M132" s="6"/>
      <c r="N132" s="6"/>
    </row>
    <row r="133" spans="11:14" ht="15.75" customHeight="1" x14ac:dyDescent="0.3">
      <c r="K133" s="6"/>
      <c r="L133" s="6"/>
      <c r="M133" s="6"/>
      <c r="N133" s="6"/>
    </row>
    <row r="134" spans="11:14" ht="15.75" customHeight="1" x14ac:dyDescent="0.3">
      <c r="K134" s="6"/>
      <c r="L134" s="6"/>
      <c r="M134" s="6"/>
      <c r="N134" s="6"/>
    </row>
    <row r="135" spans="11:14" ht="15.75" customHeight="1" x14ac:dyDescent="0.3">
      <c r="K135" s="6"/>
      <c r="L135" s="6"/>
      <c r="M135" s="6"/>
      <c r="N135" s="6"/>
    </row>
    <row r="136" spans="11:14" ht="15.75" customHeight="1" x14ac:dyDescent="0.3">
      <c r="K136" s="6"/>
      <c r="L136" s="6"/>
      <c r="M136" s="6"/>
      <c r="N136" s="6"/>
    </row>
    <row r="137" spans="11:14" ht="15.75" customHeight="1" x14ac:dyDescent="0.3">
      <c r="K137" s="6"/>
      <c r="L137" s="6"/>
      <c r="M137" s="6"/>
      <c r="N137" s="6"/>
    </row>
    <row r="138" spans="11:14" ht="15.75" customHeight="1" x14ac:dyDescent="0.3">
      <c r="K138" s="6"/>
      <c r="L138" s="6"/>
      <c r="M138" s="6"/>
      <c r="N138" s="6"/>
    </row>
    <row r="139" spans="11:14" ht="15.75" customHeight="1" x14ac:dyDescent="0.3">
      <c r="K139" s="6"/>
      <c r="L139" s="6"/>
      <c r="M139" s="6"/>
      <c r="N139" s="6"/>
    </row>
    <row r="140" spans="11:14" ht="15.75" customHeight="1" x14ac:dyDescent="0.3">
      <c r="K140" s="6"/>
      <c r="L140" s="6"/>
      <c r="M140" s="6"/>
      <c r="N140" s="6"/>
    </row>
    <row r="141" spans="11:14" ht="15.75" customHeight="1" x14ac:dyDescent="0.3">
      <c r="K141" s="6"/>
      <c r="L141" s="6"/>
      <c r="M141" s="6"/>
      <c r="N141" s="6"/>
    </row>
    <row r="142" spans="11:14" ht="15.75" customHeight="1" x14ac:dyDescent="0.3">
      <c r="K142" s="6"/>
      <c r="L142" s="6"/>
      <c r="M142" s="6"/>
      <c r="N142" s="6"/>
    </row>
    <row r="143" spans="11:14" ht="15.75" customHeight="1" x14ac:dyDescent="0.3">
      <c r="K143" s="6"/>
      <c r="L143" s="6"/>
      <c r="M143" s="6"/>
      <c r="N143" s="6"/>
    </row>
    <row r="144" spans="11:14" ht="15.75" customHeight="1" x14ac:dyDescent="0.3">
      <c r="K144" s="6"/>
      <c r="L144" s="6"/>
      <c r="M144" s="6"/>
      <c r="N144" s="6"/>
    </row>
    <row r="145" spans="11:14" ht="15.75" customHeight="1" x14ac:dyDescent="0.3">
      <c r="K145" s="6"/>
      <c r="L145" s="6"/>
      <c r="M145" s="6"/>
      <c r="N145" s="6"/>
    </row>
    <row r="146" spans="11:14" ht="15.75" customHeight="1" x14ac:dyDescent="0.3">
      <c r="K146" s="6"/>
      <c r="L146" s="6"/>
      <c r="M146" s="6"/>
      <c r="N146" s="6"/>
    </row>
    <row r="147" spans="11:14" ht="15.75" customHeight="1" x14ac:dyDescent="0.3">
      <c r="K147" s="6"/>
      <c r="L147" s="6"/>
      <c r="M147" s="6"/>
      <c r="N147" s="6"/>
    </row>
    <row r="148" spans="11:14" ht="15.75" customHeight="1" x14ac:dyDescent="0.3">
      <c r="K148" s="6"/>
      <c r="L148" s="6"/>
      <c r="M148" s="6"/>
      <c r="N148" s="6"/>
    </row>
    <row r="149" spans="11:14" ht="15.75" customHeight="1" x14ac:dyDescent="0.3">
      <c r="K149" s="6"/>
      <c r="L149" s="6"/>
      <c r="M149" s="6"/>
      <c r="N149" s="6"/>
    </row>
    <row r="150" spans="11:14" ht="15.75" customHeight="1" x14ac:dyDescent="0.3">
      <c r="K150" s="6"/>
      <c r="L150" s="6"/>
      <c r="M150" s="6"/>
      <c r="N150" s="6"/>
    </row>
    <row r="151" spans="11:14" ht="15.75" customHeight="1" x14ac:dyDescent="0.3">
      <c r="K151" s="6"/>
      <c r="L151" s="6"/>
      <c r="M151" s="6"/>
      <c r="N151" s="6"/>
    </row>
    <row r="152" spans="11:14" ht="15.75" customHeight="1" x14ac:dyDescent="0.3">
      <c r="K152" s="6"/>
      <c r="L152" s="6"/>
      <c r="M152" s="6"/>
      <c r="N152" s="6"/>
    </row>
    <row r="153" spans="11:14" ht="15.75" customHeight="1" x14ac:dyDescent="0.3">
      <c r="K153" s="6"/>
      <c r="L153" s="6"/>
      <c r="M153" s="6"/>
      <c r="N153" s="6"/>
    </row>
    <row r="154" spans="11:14" ht="15.75" customHeight="1" x14ac:dyDescent="0.3">
      <c r="K154" s="6"/>
      <c r="L154" s="6"/>
      <c r="M154" s="6"/>
      <c r="N154" s="6"/>
    </row>
    <row r="155" spans="11:14" ht="15.75" customHeight="1" x14ac:dyDescent="0.3">
      <c r="K155" s="6"/>
      <c r="L155" s="6"/>
      <c r="M155" s="6"/>
      <c r="N155" s="6"/>
    </row>
    <row r="156" spans="11:14" ht="15.75" customHeight="1" x14ac:dyDescent="0.3">
      <c r="K156" s="6"/>
      <c r="L156" s="6"/>
      <c r="M156" s="6"/>
      <c r="N156" s="6"/>
    </row>
    <row r="157" spans="11:14" ht="15.75" customHeight="1" x14ac:dyDescent="0.3">
      <c r="K157" s="6"/>
      <c r="L157" s="6"/>
      <c r="M157" s="6"/>
      <c r="N157" s="6"/>
    </row>
    <row r="158" spans="11:14" ht="15.75" customHeight="1" x14ac:dyDescent="0.3">
      <c r="K158" s="6"/>
      <c r="L158" s="6"/>
      <c r="M158" s="6"/>
      <c r="N158" s="6"/>
    </row>
    <row r="159" spans="11:14" ht="15.75" customHeight="1" x14ac:dyDescent="0.3">
      <c r="K159" s="6"/>
      <c r="L159" s="6"/>
      <c r="M159" s="6"/>
      <c r="N159" s="6"/>
    </row>
    <row r="160" spans="11:14" ht="15.75" customHeight="1" x14ac:dyDescent="0.3">
      <c r="K160" s="6"/>
      <c r="L160" s="6"/>
      <c r="M160" s="6"/>
      <c r="N160" s="6"/>
    </row>
    <row r="161" spans="11:14" ht="15.75" customHeight="1" x14ac:dyDescent="0.3">
      <c r="K161" s="6"/>
      <c r="L161" s="6"/>
      <c r="M161" s="6"/>
      <c r="N161" s="6"/>
    </row>
    <row r="162" spans="11:14" ht="15.75" customHeight="1" x14ac:dyDescent="0.3">
      <c r="K162" s="6"/>
      <c r="L162" s="6"/>
      <c r="M162" s="6"/>
      <c r="N162" s="6"/>
    </row>
    <row r="163" spans="11:14" ht="15.75" customHeight="1" x14ac:dyDescent="0.3">
      <c r="K163" s="6"/>
      <c r="L163" s="6"/>
      <c r="M163" s="6"/>
      <c r="N163" s="6"/>
    </row>
    <row r="164" spans="11:14" ht="15.75" customHeight="1" x14ac:dyDescent="0.3">
      <c r="K164" s="6"/>
      <c r="L164" s="6"/>
      <c r="M164" s="6"/>
      <c r="N164" s="6"/>
    </row>
    <row r="165" spans="11:14" ht="15.75" customHeight="1" x14ac:dyDescent="0.3">
      <c r="K165" s="6"/>
      <c r="L165" s="6"/>
      <c r="M165" s="6"/>
      <c r="N165" s="6"/>
    </row>
    <row r="166" spans="11:14" ht="15.75" customHeight="1" x14ac:dyDescent="0.3">
      <c r="K166" s="6"/>
      <c r="L166" s="6"/>
      <c r="M166" s="6"/>
      <c r="N166" s="6"/>
    </row>
    <row r="167" spans="11:14" ht="15.75" customHeight="1" x14ac:dyDescent="0.3">
      <c r="K167" s="6"/>
      <c r="L167" s="6"/>
      <c r="M167" s="6"/>
      <c r="N167" s="6"/>
    </row>
    <row r="168" spans="11:14" ht="15.75" customHeight="1" x14ac:dyDescent="0.3">
      <c r="K168" s="6"/>
      <c r="L168" s="6"/>
      <c r="M168" s="6"/>
      <c r="N168" s="6"/>
    </row>
    <row r="169" spans="11:14" ht="15.75" customHeight="1" x14ac:dyDescent="0.3">
      <c r="K169" s="6"/>
      <c r="L169" s="6"/>
      <c r="M169" s="6"/>
      <c r="N169" s="6"/>
    </row>
    <row r="170" spans="11:14" ht="15.75" customHeight="1" x14ac:dyDescent="0.3">
      <c r="K170" s="6"/>
      <c r="L170" s="6"/>
      <c r="M170" s="6"/>
      <c r="N170" s="6"/>
    </row>
    <row r="171" spans="11:14" ht="15.75" customHeight="1" x14ac:dyDescent="0.3">
      <c r="K171" s="6"/>
      <c r="L171" s="6"/>
      <c r="M171" s="6"/>
      <c r="N171" s="6"/>
    </row>
    <row r="172" spans="11:14" ht="15.75" customHeight="1" x14ac:dyDescent="0.3">
      <c r="K172" s="6"/>
      <c r="L172" s="6"/>
      <c r="M172" s="6"/>
      <c r="N172" s="6"/>
    </row>
    <row r="173" spans="11:14" ht="15.75" customHeight="1" x14ac:dyDescent="0.3">
      <c r="K173" s="6"/>
      <c r="L173" s="6"/>
      <c r="M173" s="6"/>
      <c r="N173" s="6"/>
    </row>
    <row r="174" spans="11:14" ht="15.75" customHeight="1" x14ac:dyDescent="0.3">
      <c r="K174" s="6"/>
      <c r="L174" s="6"/>
      <c r="M174" s="6"/>
      <c r="N174" s="6"/>
    </row>
    <row r="175" spans="11:14" ht="15.75" customHeight="1" x14ac:dyDescent="0.3">
      <c r="K175" s="6"/>
      <c r="L175" s="6"/>
      <c r="M175" s="6"/>
      <c r="N175" s="6"/>
    </row>
    <row r="176" spans="11:14" ht="15.75" customHeight="1" x14ac:dyDescent="0.3">
      <c r="K176" s="6"/>
      <c r="L176" s="6"/>
      <c r="M176" s="6"/>
      <c r="N176" s="6"/>
    </row>
    <row r="177" spans="11:14" ht="15.75" customHeight="1" x14ac:dyDescent="0.3">
      <c r="K177" s="6"/>
      <c r="L177" s="6"/>
      <c r="M177" s="6"/>
      <c r="N177" s="6"/>
    </row>
    <row r="178" spans="11:14" ht="15.75" customHeight="1" x14ac:dyDescent="0.3">
      <c r="K178" s="6"/>
      <c r="L178" s="6"/>
      <c r="M178" s="6"/>
      <c r="N178" s="6"/>
    </row>
    <row r="179" spans="11:14" ht="15.75" customHeight="1" x14ac:dyDescent="0.3">
      <c r="K179" s="6"/>
      <c r="L179" s="6"/>
      <c r="M179" s="6"/>
      <c r="N179" s="6"/>
    </row>
    <row r="180" spans="11:14" ht="15.75" customHeight="1" x14ac:dyDescent="0.3">
      <c r="K180" s="6"/>
      <c r="L180" s="6"/>
      <c r="M180" s="6"/>
      <c r="N180" s="6"/>
    </row>
    <row r="181" spans="11:14" ht="15.75" customHeight="1" x14ac:dyDescent="0.3">
      <c r="K181" s="6"/>
      <c r="L181" s="6"/>
      <c r="M181" s="6"/>
      <c r="N181" s="6"/>
    </row>
    <row r="182" spans="11:14" ht="15.75" customHeight="1" x14ac:dyDescent="0.3">
      <c r="K182" s="6"/>
      <c r="L182" s="6"/>
      <c r="M182" s="6"/>
      <c r="N182" s="6"/>
    </row>
    <row r="183" spans="11:14" ht="15.75" customHeight="1" x14ac:dyDescent="0.3">
      <c r="K183" s="6"/>
      <c r="L183" s="6"/>
      <c r="M183" s="6"/>
      <c r="N183" s="6"/>
    </row>
    <row r="184" spans="11:14" ht="15.75" customHeight="1" x14ac:dyDescent="0.3">
      <c r="K184" s="6"/>
      <c r="L184" s="6"/>
      <c r="M184" s="6"/>
      <c r="N184" s="6"/>
    </row>
    <row r="185" spans="11:14" ht="15.75" customHeight="1" x14ac:dyDescent="0.3">
      <c r="K185" s="6"/>
      <c r="L185" s="6"/>
      <c r="M185" s="6"/>
      <c r="N185" s="6"/>
    </row>
    <row r="186" spans="11:14" ht="15.75" customHeight="1" x14ac:dyDescent="0.3">
      <c r="K186" s="6"/>
      <c r="L186" s="6"/>
      <c r="M186" s="6"/>
      <c r="N186" s="6"/>
    </row>
    <row r="187" spans="11:14" ht="15.75" customHeight="1" x14ac:dyDescent="0.3">
      <c r="K187" s="6"/>
      <c r="L187" s="6"/>
      <c r="M187" s="6"/>
      <c r="N187" s="6"/>
    </row>
    <row r="188" spans="11:14" ht="15.75" customHeight="1" x14ac:dyDescent="0.3">
      <c r="K188" s="6"/>
      <c r="L188" s="6"/>
      <c r="M188" s="6"/>
      <c r="N188" s="6"/>
    </row>
    <row r="189" spans="11:14" ht="15.75" customHeight="1" x14ac:dyDescent="0.3">
      <c r="K189" s="6"/>
      <c r="L189" s="6"/>
      <c r="M189" s="6"/>
      <c r="N189" s="6"/>
    </row>
    <row r="190" spans="11:14" ht="15.75" customHeight="1" x14ac:dyDescent="0.3">
      <c r="K190" s="6"/>
      <c r="L190" s="6"/>
      <c r="M190" s="6"/>
      <c r="N190" s="6"/>
    </row>
    <row r="191" spans="11:14" ht="15.75" customHeight="1" x14ac:dyDescent="0.3">
      <c r="K191" s="6"/>
      <c r="L191" s="6"/>
      <c r="M191" s="6"/>
      <c r="N191" s="6"/>
    </row>
    <row r="192" spans="11:14" ht="15.75" customHeight="1" x14ac:dyDescent="0.3">
      <c r="K192" s="6"/>
      <c r="L192" s="6"/>
      <c r="M192" s="6"/>
      <c r="N192" s="6"/>
    </row>
    <row r="193" spans="11:14" ht="15.75" customHeight="1" x14ac:dyDescent="0.3">
      <c r="K193" s="6"/>
      <c r="L193" s="6"/>
      <c r="M193" s="6"/>
      <c r="N193" s="6"/>
    </row>
    <row r="194" spans="11:14" ht="15.75" customHeight="1" x14ac:dyDescent="0.3">
      <c r="K194" s="6"/>
      <c r="L194" s="6"/>
      <c r="M194" s="6"/>
      <c r="N194" s="6"/>
    </row>
    <row r="195" spans="11:14" ht="15.75" customHeight="1" x14ac:dyDescent="0.3">
      <c r="K195" s="6"/>
      <c r="L195" s="6"/>
      <c r="M195" s="6"/>
      <c r="N195" s="6"/>
    </row>
    <row r="196" spans="11:14" ht="15.75" customHeight="1" x14ac:dyDescent="0.3">
      <c r="K196" s="6"/>
      <c r="L196" s="6"/>
      <c r="M196" s="6"/>
      <c r="N196" s="6"/>
    </row>
    <row r="197" spans="11:14" ht="15.75" customHeight="1" x14ac:dyDescent="0.3">
      <c r="K197" s="6"/>
      <c r="L197" s="6"/>
      <c r="M197" s="6"/>
      <c r="N197" s="6"/>
    </row>
    <row r="198" spans="11:14" ht="15.75" customHeight="1" x14ac:dyDescent="0.3">
      <c r="K198" s="6"/>
      <c r="L198" s="6"/>
      <c r="M198" s="6"/>
      <c r="N198" s="6"/>
    </row>
    <row r="199" spans="11:14" ht="15.75" customHeight="1" x14ac:dyDescent="0.3">
      <c r="K199" s="6"/>
      <c r="L199" s="6"/>
      <c r="M199" s="6"/>
      <c r="N199" s="6"/>
    </row>
    <row r="200" spans="11:14" ht="15.75" customHeight="1" x14ac:dyDescent="0.3">
      <c r="K200" s="6"/>
      <c r="L200" s="6"/>
      <c r="M200" s="6"/>
      <c r="N200" s="6"/>
    </row>
    <row r="201" spans="11:14" ht="15.75" customHeight="1" x14ac:dyDescent="0.3">
      <c r="K201" s="6"/>
      <c r="L201" s="6"/>
      <c r="M201" s="6"/>
      <c r="N201" s="6"/>
    </row>
    <row r="202" spans="11:14" ht="15.75" customHeight="1" x14ac:dyDescent="0.3">
      <c r="K202" s="6"/>
      <c r="L202" s="6"/>
      <c r="M202" s="6"/>
      <c r="N202" s="6"/>
    </row>
    <row r="203" spans="11:14" ht="15.75" customHeight="1" x14ac:dyDescent="0.3">
      <c r="K203" s="6"/>
      <c r="L203" s="6"/>
      <c r="M203" s="6"/>
      <c r="N203" s="6"/>
    </row>
    <row r="204" spans="11:14" ht="15.75" customHeight="1" x14ac:dyDescent="0.3">
      <c r="K204" s="6"/>
      <c r="L204" s="6"/>
      <c r="M204" s="6"/>
      <c r="N204" s="6"/>
    </row>
    <row r="205" spans="11:14" ht="15.75" customHeight="1" x14ac:dyDescent="0.3">
      <c r="K205" s="6"/>
      <c r="L205" s="6"/>
      <c r="M205" s="6"/>
      <c r="N205" s="6"/>
    </row>
    <row r="206" spans="11:14" ht="15.75" customHeight="1" x14ac:dyDescent="0.3">
      <c r="K206" s="6"/>
      <c r="L206" s="6"/>
      <c r="M206" s="6"/>
      <c r="N206" s="6"/>
    </row>
    <row r="207" spans="11:14" ht="15.75" customHeight="1" x14ac:dyDescent="0.3">
      <c r="K207" s="6"/>
      <c r="L207" s="6"/>
      <c r="M207" s="6"/>
      <c r="N207" s="6"/>
    </row>
    <row r="208" spans="11:14" ht="15.75" customHeight="1" x14ac:dyDescent="0.3">
      <c r="K208" s="6"/>
      <c r="L208" s="6"/>
      <c r="M208" s="6"/>
      <c r="N208" s="6"/>
    </row>
    <row r="209" spans="11:14" ht="15.75" customHeight="1" x14ac:dyDescent="0.3">
      <c r="K209" s="6"/>
      <c r="L209" s="6"/>
      <c r="M209" s="6"/>
      <c r="N209" s="6"/>
    </row>
    <row r="210" spans="11:14" ht="15.75" customHeight="1" x14ac:dyDescent="0.3">
      <c r="K210" s="6"/>
      <c r="L210" s="6"/>
      <c r="M210" s="6"/>
      <c r="N210" s="6"/>
    </row>
    <row r="211" spans="11:14" ht="15.75" customHeight="1" x14ac:dyDescent="0.3">
      <c r="K211" s="6"/>
      <c r="L211" s="6"/>
      <c r="M211" s="6"/>
      <c r="N211" s="6"/>
    </row>
    <row r="212" spans="11:14" ht="15.75" customHeight="1" x14ac:dyDescent="0.3">
      <c r="K212" s="6"/>
      <c r="L212" s="6"/>
      <c r="M212" s="6"/>
      <c r="N212" s="6"/>
    </row>
    <row r="213" spans="11:14" ht="15.75" customHeight="1" x14ac:dyDescent="0.3">
      <c r="K213" s="6"/>
      <c r="L213" s="6"/>
      <c r="M213" s="6"/>
      <c r="N213" s="6"/>
    </row>
    <row r="214" spans="11:14" ht="15.75" customHeight="1" x14ac:dyDescent="0.3">
      <c r="K214" s="6"/>
      <c r="L214" s="6"/>
      <c r="M214" s="6"/>
      <c r="N214" s="6"/>
    </row>
    <row r="215" spans="11:14" ht="15.75" customHeight="1" x14ac:dyDescent="0.3">
      <c r="K215" s="6"/>
      <c r="L215" s="6"/>
      <c r="M215" s="6"/>
      <c r="N215" s="6"/>
    </row>
    <row r="216" spans="11:14" ht="15.75" customHeight="1" x14ac:dyDescent="0.3">
      <c r="K216" s="6"/>
      <c r="L216" s="6"/>
      <c r="M216" s="6"/>
      <c r="N216" s="6"/>
    </row>
    <row r="217" spans="11:14" ht="15.75" customHeight="1" x14ac:dyDescent="0.3">
      <c r="K217" s="6"/>
      <c r="L217" s="6"/>
      <c r="M217" s="6"/>
      <c r="N217" s="6"/>
    </row>
    <row r="218" spans="11:14" ht="15.75" customHeight="1" x14ac:dyDescent="0.3">
      <c r="K218" s="6"/>
      <c r="L218" s="6"/>
      <c r="M218" s="6"/>
      <c r="N218" s="6"/>
    </row>
    <row r="219" spans="11:14" ht="15.75" customHeight="1" x14ac:dyDescent="0.3">
      <c r="K219" s="6"/>
      <c r="L219" s="6"/>
      <c r="M219" s="6"/>
      <c r="N219" s="6"/>
    </row>
    <row r="220" spans="11:14" ht="15.75" customHeight="1" x14ac:dyDescent="0.3">
      <c r="K220" s="6"/>
      <c r="L220" s="6"/>
      <c r="M220" s="6"/>
      <c r="N220" s="6"/>
    </row>
    <row r="221" spans="11:14" ht="15.75" customHeight="1" x14ac:dyDescent="0.3">
      <c r="K221" s="6"/>
      <c r="L221" s="6"/>
      <c r="M221" s="6"/>
      <c r="N221" s="6"/>
    </row>
    <row r="222" spans="11:14" ht="15.75" customHeight="1" x14ac:dyDescent="0.3">
      <c r="K222" s="6"/>
      <c r="L222" s="6"/>
      <c r="M222" s="6"/>
      <c r="N222" s="6"/>
    </row>
    <row r="223" spans="11:14" ht="15.75" customHeight="1" x14ac:dyDescent="0.3">
      <c r="K223" s="6"/>
      <c r="L223" s="6"/>
      <c r="M223" s="6"/>
      <c r="N223" s="6"/>
    </row>
    <row r="224" spans="11:14" ht="15.75" customHeight="1" x14ac:dyDescent="0.3">
      <c r="K224" s="6"/>
      <c r="L224" s="6"/>
      <c r="M224" s="6"/>
      <c r="N224" s="6"/>
    </row>
    <row r="225" spans="11:14" ht="15.75" customHeight="1" x14ac:dyDescent="0.3">
      <c r="K225" s="6"/>
      <c r="L225" s="6"/>
      <c r="M225" s="6"/>
      <c r="N225" s="6"/>
    </row>
    <row r="226" spans="11:14" ht="15.75" customHeight="1" x14ac:dyDescent="0.3">
      <c r="K226" s="6"/>
      <c r="L226" s="6"/>
      <c r="M226" s="6"/>
      <c r="N226" s="6"/>
    </row>
    <row r="227" spans="11:14" ht="15.75" customHeight="1" x14ac:dyDescent="0.3">
      <c r="K227" s="6"/>
      <c r="L227" s="6"/>
      <c r="M227" s="6"/>
      <c r="N227" s="6"/>
    </row>
    <row r="228" spans="11:14" ht="15.75" customHeight="1" x14ac:dyDescent="0.3">
      <c r="K228" s="6"/>
      <c r="L228" s="6"/>
      <c r="M228" s="6"/>
      <c r="N228" s="6"/>
    </row>
    <row r="229" spans="11:14" ht="15.75" customHeight="1" x14ac:dyDescent="0.3">
      <c r="K229" s="6"/>
      <c r="L229" s="6"/>
      <c r="M229" s="6"/>
      <c r="N229" s="6"/>
    </row>
    <row r="230" spans="11:14" ht="15.75" customHeight="1" x14ac:dyDescent="0.3">
      <c r="K230" s="6"/>
      <c r="L230" s="6"/>
      <c r="M230" s="6"/>
      <c r="N230" s="6"/>
    </row>
    <row r="231" spans="11:14" ht="15.75" customHeight="1" x14ac:dyDescent="0.3">
      <c r="K231" s="6"/>
      <c r="L231" s="6"/>
      <c r="M231" s="6"/>
      <c r="N231" s="6"/>
    </row>
    <row r="232" spans="11:14" ht="15.75" customHeight="1" x14ac:dyDescent="0.3">
      <c r="K232" s="6"/>
      <c r="L232" s="6"/>
      <c r="M232" s="6"/>
      <c r="N232" s="6"/>
    </row>
    <row r="233" spans="11:14" ht="15.75" customHeight="1" x14ac:dyDescent="0.3">
      <c r="K233" s="6"/>
      <c r="L233" s="6"/>
      <c r="M233" s="6"/>
      <c r="N233" s="6"/>
    </row>
    <row r="234" spans="11:14" ht="15.75" customHeight="1" x14ac:dyDescent="0.3">
      <c r="K234" s="6"/>
      <c r="L234" s="6"/>
      <c r="M234" s="6"/>
      <c r="N234" s="6"/>
    </row>
    <row r="235" spans="11:14" ht="15.75" customHeight="1" x14ac:dyDescent="0.3">
      <c r="K235" s="6"/>
      <c r="L235" s="6"/>
      <c r="M235" s="6"/>
      <c r="N235" s="6"/>
    </row>
    <row r="236" spans="11:14" ht="15.75" customHeight="1" x14ac:dyDescent="0.3">
      <c r="K236" s="6"/>
      <c r="L236" s="6"/>
      <c r="M236" s="6"/>
      <c r="N236" s="6"/>
    </row>
    <row r="237" spans="11:14" ht="15.75" customHeight="1" x14ac:dyDescent="0.3">
      <c r="K237" s="6"/>
      <c r="L237" s="6"/>
      <c r="M237" s="6"/>
      <c r="N237" s="6"/>
    </row>
    <row r="238" spans="11:14" ht="15.75" customHeight="1" x14ac:dyDescent="0.3">
      <c r="K238" s="6"/>
      <c r="L238" s="6"/>
      <c r="M238" s="6"/>
      <c r="N238" s="6"/>
    </row>
    <row r="239" spans="11:14" ht="15.75" customHeight="1" x14ac:dyDescent="0.3">
      <c r="K239" s="6"/>
      <c r="L239" s="6"/>
      <c r="M239" s="6"/>
      <c r="N239" s="6"/>
    </row>
    <row r="240" spans="11:14" ht="15.75" customHeight="1" x14ac:dyDescent="0.3">
      <c r="K240" s="6"/>
      <c r="L240" s="6"/>
      <c r="M240" s="6"/>
      <c r="N240" s="6"/>
    </row>
    <row r="241" spans="11:14" ht="15.75" customHeight="1" x14ac:dyDescent="0.3">
      <c r="K241" s="6"/>
      <c r="L241" s="6"/>
      <c r="M241" s="6"/>
      <c r="N241" s="6"/>
    </row>
    <row r="242" spans="11:14" ht="15.75" customHeight="1" x14ac:dyDescent="0.3">
      <c r="K242" s="6"/>
      <c r="L242" s="6"/>
      <c r="M242" s="6"/>
      <c r="N242" s="6"/>
    </row>
    <row r="243" spans="11:14" ht="15.75" customHeight="1" x14ac:dyDescent="0.3">
      <c r="K243" s="6"/>
      <c r="L243" s="6"/>
      <c r="M243" s="6"/>
      <c r="N243" s="6"/>
    </row>
    <row r="244" spans="11:14" ht="15.75" customHeight="1" x14ac:dyDescent="0.3">
      <c r="K244" s="6"/>
      <c r="L244" s="6"/>
      <c r="M244" s="6"/>
      <c r="N244" s="6"/>
    </row>
    <row r="245" spans="11:14" ht="15.75" customHeight="1" x14ac:dyDescent="0.3">
      <c r="K245" s="6"/>
      <c r="L245" s="6"/>
      <c r="M245" s="6"/>
      <c r="N245" s="6"/>
    </row>
    <row r="246" spans="11:14" ht="15.75" customHeight="1" x14ac:dyDescent="0.3">
      <c r="K246" s="6"/>
      <c r="L246" s="6"/>
      <c r="M246" s="6"/>
      <c r="N246" s="6"/>
    </row>
    <row r="247" spans="11:14" ht="15.75" customHeight="1" x14ac:dyDescent="0.3">
      <c r="K247" s="6"/>
      <c r="L247" s="6"/>
      <c r="M247" s="6"/>
      <c r="N247" s="6"/>
    </row>
    <row r="248" spans="11:14" ht="15.75" customHeight="1" x14ac:dyDescent="0.3">
      <c r="K248" s="6"/>
      <c r="L248" s="6"/>
      <c r="M248" s="6"/>
      <c r="N248" s="6"/>
    </row>
    <row r="249" spans="11:14" ht="15.75" customHeight="1" x14ac:dyDescent="0.3">
      <c r="K249" s="6"/>
      <c r="L249" s="6"/>
      <c r="M249" s="6"/>
      <c r="N249" s="6"/>
    </row>
    <row r="250" spans="11:14" ht="15.75" customHeight="1" x14ac:dyDescent="0.3">
      <c r="K250" s="6"/>
      <c r="L250" s="6"/>
      <c r="M250" s="6"/>
      <c r="N250" s="6"/>
    </row>
    <row r="251" spans="11:14" ht="15.75" customHeight="1" x14ac:dyDescent="0.3">
      <c r="K251" s="6"/>
      <c r="L251" s="6"/>
      <c r="M251" s="6"/>
      <c r="N251" s="6"/>
    </row>
    <row r="252" spans="11:14" ht="15.75" customHeight="1" x14ac:dyDescent="0.3">
      <c r="K252" s="6"/>
      <c r="L252" s="6"/>
      <c r="M252" s="6"/>
      <c r="N252" s="6"/>
    </row>
    <row r="253" spans="11:14" ht="15.75" customHeight="1" x14ac:dyDescent="0.3">
      <c r="K253" s="6"/>
      <c r="L253" s="6"/>
      <c r="M253" s="6"/>
      <c r="N253" s="6"/>
    </row>
    <row r="254" spans="11:14" ht="15.75" customHeight="1" x14ac:dyDescent="0.3">
      <c r="K254" s="6"/>
      <c r="L254" s="6"/>
      <c r="M254" s="6"/>
      <c r="N254" s="6"/>
    </row>
    <row r="255" spans="11:14" ht="15.75" customHeight="1" x14ac:dyDescent="0.3">
      <c r="K255" s="6"/>
      <c r="L255" s="6"/>
      <c r="M255" s="6"/>
      <c r="N255" s="6"/>
    </row>
    <row r="256" spans="11:14" ht="15.75" customHeight="1" x14ac:dyDescent="0.3">
      <c r="K256" s="6"/>
      <c r="L256" s="6"/>
      <c r="M256" s="6"/>
      <c r="N256" s="6"/>
    </row>
    <row r="257" spans="11:14" ht="15.75" customHeight="1" x14ac:dyDescent="0.3">
      <c r="K257" s="6"/>
      <c r="L257" s="6"/>
      <c r="M257" s="6"/>
      <c r="N257" s="6"/>
    </row>
    <row r="258" spans="11:14" ht="15.75" customHeight="1" x14ac:dyDescent="0.3">
      <c r="K258" s="6"/>
      <c r="L258" s="6"/>
      <c r="M258" s="6"/>
      <c r="N258" s="6"/>
    </row>
    <row r="259" spans="11:14" ht="15.75" customHeight="1" x14ac:dyDescent="0.3">
      <c r="K259" s="6"/>
      <c r="L259" s="6"/>
      <c r="M259" s="6"/>
      <c r="N259" s="6"/>
    </row>
    <row r="260" spans="11:14" ht="15.75" customHeight="1" x14ac:dyDescent="0.3">
      <c r="K260" s="6"/>
      <c r="L260" s="6"/>
      <c r="M260" s="6"/>
      <c r="N260" s="6"/>
    </row>
    <row r="261" spans="11:14" ht="15.75" customHeight="1" x14ac:dyDescent="0.3">
      <c r="K261" s="6"/>
      <c r="L261" s="6"/>
      <c r="M261" s="6"/>
      <c r="N261" s="6"/>
    </row>
    <row r="262" spans="11:14" ht="15.75" customHeight="1" x14ac:dyDescent="0.3">
      <c r="K262" s="6"/>
      <c r="L262" s="6"/>
      <c r="M262" s="6"/>
      <c r="N262" s="6"/>
    </row>
    <row r="263" spans="11:14" ht="15.75" customHeight="1" x14ac:dyDescent="0.3">
      <c r="K263" s="6"/>
      <c r="L263" s="6"/>
      <c r="M263" s="6"/>
      <c r="N263" s="6"/>
    </row>
    <row r="264" spans="11:14" ht="15.75" customHeight="1" x14ac:dyDescent="0.3">
      <c r="K264" s="6"/>
      <c r="L264" s="6"/>
      <c r="M264" s="6"/>
      <c r="N264" s="6"/>
    </row>
    <row r="265" spans="11:14" ht="15.75" customHeight="1" x14ac:dyDescent="0.3">
      <c r="K265" s="6"/>
      <c r="L265" s="6"/>
      <c r="M265" s="6"/>
      <c r="N265" s="6"/>
    </row>
    <row r="266" spans="11:14" ht="15.75" customHeight="1" x14ac:dyDescent="0.3">
      <c r="K266" s="6"/>
      <c r="L266" s="6"/>
      <c r="M266" s="6"/>
      <c r="N266" s="6"/>
    </row>
    <row r="267" spans="11:14" ht="15.75" customHeight="1" x14ac:dyDescent="0.3">
      <c r="K267" s="6"/>
      <c r="L267" s="6"/>
      <c r="M267" s="6"/>
      <c r="N267" s="6"/>
    </row>
    <row r="268" spans="11:14" ht="15.75" customHeight="1" x14ac:dyDescent="0.3">
      <c r="K268" s="6"/>
      <c r="L268" s="6"/>
      <c r="M268" s="6"/>
      <c r="N268" s="6"/>
    </row>
    <row r="269" spans="11:14" ht="15.75" customHeight="1" x14ac:dyDescent="0.3">
      <c r="K269" s="6"/>
      <c r="L269" s="6"/>
      <c r="M269" s="6"/>
      <c r="N269" s="6"/>
    </row>
    <row r="270" spans="11:14" ht="15.75" customHeight="1" x14ac:dyDescent="0.3">
      <c r="K270" s="6"/>
      <c r="L270" s="6"/>
      <c r="M270" s="6"/>
      <c r="N270" s="6"/>
    </row>
    <row r="271" spans="11:14" ht="15.75" customHeight="1" x14ac:dyDescent="0.3">
      <c r="K271" s="6"/>
      <c r="L271" s="6"/>
      <c r="M271" s="6"/>
      <c r="N271" s="6"/>
    </row>
    <row r="272" spans="11:14" ht="15.75" customHeight="1" x14ac:dyDescent="0.3">
      <c r="K272" s="6"/>
      <c r="L272" s="6"/>
      <c r="M272" s="6"/>
      <c r="N272" s="6"/>
    </row>
    <row r="273" spans="11:14" ht="15.75" customHeight="1" x14ac:dyDescent="0.3">
      <c r="K273" s="6"/>
      <c r="L273" s="6"/>
      <c r="M273" s="6"/>
      <c r="N273" s="6"/>
    </row>
    <row r="274" spans="11:14" ht="15.75" customHeight="1" x14ac:dyDescent="0.3">
      <c r="K274" s="6"/>
      <c r="L274" s="6"/>
      <c r="M274" s="6"/>
      <c r="N274" s="6"/>
    </row>
    <row r="275" spans="11:14" ht="15.75" customHeight="1" x14ac:dyDescent="0.3">
      <c r="K275" s="6"/>
      <c r="L275" s="6"/>
      <c r="M275" s="6"/>
      <c r="N275" s="6"/>
    </row>
    <row r="276" spans="11:14" ht="15.75" customHeight="1" x14ac:dyDescent="0.3">
      <c r="K276" s="6"/>
      <c r="L276" s="6"/>
      <c r="M276" s="6"/>
      <c r="N276" s="6"/>
    </row>
    <row r="277" spans="11:14" ht="15.75" customHeight="1" x14ac:dyDescent="0.3">
      <c r="K277" s="6"/>
      <c r="L277" s="6"/>
      <c r="M277" s="6"/>
      <c r="N277" s="6"/>
    </row>
    <row r="278" spans="11:14" ht="15.75" customHeight="1" x14ac:dyDescent="0.3">
      <c r="K278" s="6"/>
      <c r="L278" s="6"/>
      <c r="M278" s="6"/>
      <c r="N278" s="6"/>
    </row>
    <row r="279" spans="11:14" ht="15.75" customHeight="1" x14ac:dyDescent="0.3">
      <c r="K279" s="6"/>
      <c r="L279" s="6"/>
      <c r="M279" s="6"/>
      <c r="N279" s="6"/>
    </row>
    <row r="280" spans="11:14" ht="15.75" customHeight="1" x14ac:dyDescent="0.3">
      <c r="K280" s="6"/>
      <c r="L280" s="6"/>
      <c r="M280" s="6"/>
      <c r="N280" s="6"/>
    </row>
    <row r="281" spans="11:14" ht="15.75" customHeight="1" x14ac:dyDescent="0.3">
      <c r="K281" s="6"/>
      <c r="L281" s="6"/>
      <c r="M281" s="6"/>
      <c r="N281" s="6"/>
    </row>
    <row r="282" spans="11:14" ht="15.75" customHeight="1" x14ac:dyDescent="0.3">
      <c r="K282" s="6"/>
      <c r="L282" s="6"/>
      <c r="M282" s="6"/>
      <c r="N282" s="6"/>
    </row>
    <row r="283" spans="11:14" ht="15.75" customHeight="1" x14ac:dyDescent="0.3">
      <c r="K283" s="6"/>
      <c r="L283" s="6"/>
      <c r="M283" s="6"/>
      <c r="N283" s="6"/>
    </row>
    <row r="284" spans="11:14" ht="15.75" customHeight="1" x14ac:dyDescent="0.3">
      <c r="K284" s="6"/>
      <c r="L284" s="6"/>
      <c r="M284" s="6"/>
      <c r="N284" s="6"/>
    </row>
    <row r="285" spans="11:14" ht="15.75" customHeight="1" x14ac:dyDescent="0.3">
      <c r="K285" s="6"/>
      <c r="L285" s="6"/>
      <c r="M285" s="6"/>
      <c r="N285" s="6"/>
    </row>
    <row r="286" spans="11:14" ht="15.75" customHeight="1" x14ac:dyDescent="0.3">
      <c r="K286" s="6"/>
      <c r="L286" s="6"/>
      <c r="M286" s="6"/>
      <c r="N286" s="6"/>
    </row>
    <row r="287" spans="11:14" ht="15.75" customHeight="1" x14ac:dyDescent="0.3">
      <c r="K287" s="6"/>
      <c r="L287" s="6"/>
      <c r="M287" s="6"/>
      <c r="N287" s="6"/>
    </row>
    <row r="288" spans="11:14" ht="15.75" customHeight="1" x14ac:dyDescent="0.3">
      <c r="K288" s="6"/>
      <c r="L288" s="6"/>
      <c r="M288" s="6"/>
      <c r="N288" s="6"/>
    </row>
    <row r="289" spans="11:14" ht="15.75" customHeight="1" x14ac:dyDescent="0.3">
      <c r="K289" s="6"/>
      <c r="L289" s="6"/>
      <c r="M289" s="6"/>
      <c r="N289" s="6"/>
    </row>
    <row r="290" spans="11:14" ht="15.75" customHeight="1" x14ac:dyDescent="0.3">
      <c r="K290" s="6"/>
      <c r="L290" s="6"/>
      <c r="M290" s="6"/>
      <c r="N290" s="6"/>
    </row>
    <row r="291" spans="11:14" ht="15.75" customHeight="1" x14ac:dyDescent="0.3">
      <c r="K291" s="6"/>
      <c r="L291" s="6"/>
      <c r="M291" s="6"/>
      <c r="N291" s="6"/>
    </row>
    <row r="292" spans="11:14" ht="15.75" customHeight="1" x14ac:dyDescent="0.3">
      <c r="K292" s="6"/>
      <c r="L292" s="6"/>
      <c r="M292" s="6"/>
      <c r="N292" s="6"/>
    </row>
    <row r="293" spans="11:14" ht="15.75" customHeight="1" x14ac:dyDescent="0.3">
      <c r="K293" s="6"/>
      <c r="L293" s="6"/>
      <c r="M293" s="6"/>
      <c r="N293" s="6"/>
    </row>
    <row r="294" spans="11:14" ht="15.75" customHeight="1" x14ac:dyDescent="0.3">
      <c r="K294" s="6"/>
      <c r="L294" s="6"/>
      <c r="M294" s="6"/>
      <c r="N294" s="6"/>
    </row>
    <row r="295" spans="11:14" ht="15.75" customHeight="1" x14ac:dyDescent="0.3">
      <c r="K295" s="6"/>
      <c r="L295" s="6"/>
      <c r="M295" s="6"/>
      <c r="N295" s="6"/>
    </row>
    <row r="296" spans="11:14" ht="15.75" customHeight="1" x14ac:dyDescent="0.3">
      <c r="K296" s="6"/>
      <c r="L296" s="6"/>
      <c r="M296" s="6"/>
      <c r="N296" s="6"/>
    </row>
    <row r="297" spans="11:14" ht="15.75" customHeight="1" x14ac:dyDescent="0.3">
      <c r="K297" s="6"/>
      <c r="L297" s="6"/>
      <c r="M297" s="6"/>
      <c r="N297" s="6"/>
    </row>
    <row r="298" spans="11:14" ht="15.75" customHeight="1" x14ac:dyDescent="0.3">
      <c r="K298" s="6"/>
      <c r="L298" s="6"/>
      <c r="M298" s="6"/>
      <c r="N298" s="6"/>
    </row>
    <row r="299" spans="11:14" ht="15.75" customHeight="1" x14ac:dyDescent="0.3">
      <c r="K299" s="6"/>
      <c r="L299" s="6"/>
      <c r="M299" s="6"/>
      <c r="N299" s="6"/>
    </row>
    <row r="300" spans="11:14" ht="15.75" customHeight="1" x14ac:dyDescent="0.3">
      <c r="K300" s="6"/>
      <c r="L300" s="6"/>
      <c r="M300" s="6"/>
      <c r="N300" s="6"/>
    </row>
    <row r="301" spans="11:14" ht="15.75" customHeight="1" x14ac:dyDescent="0.3">
      <c r="K301" s="6"/>
      <c r="L301" s="6"/>
      <c r="M301" s="6"/>
      <c r="N301" s="6"/>
    </row>
    <row r="302" spans="11:14" ht="15.75" customHeight="1" x14ac:dyDescent="0.3">
      <c r="K302" s="6"/>
      <c r="L302" s="6"/>
      <c r="M302" s="6"/>
      <c r="N302" s="6"/>
    </row>
    <row r="303" spans="11:14" ht="15.75" customHeight="1" x14ac:dyDescent="0.3">
      <c r="K303" s="6"/>
      <c r="L303" s="6"/>
      <c r="M303" s="6"/>
      <c r="N303" s="6"/>
    </row>
    <row r="304" spans="11:14" ht="15.75" customHeight="1" x14ac:dyDescent="0.3">
      <c r="K304" s="6"/>
      <c r="L304" s="6"/>
      <c r="M304" s="6"/>
      <c r="N304" s="6"/>
    </row>
    <row r="305" spans="11:14" ht="15.75" customHeight="1" x14ac:dyDescent="0.3">
      <c r="K305" s="6"/>
      <c r="L305" s="6"/>
      <c r="M305" s="6"/>
      <c r="N305" s="6"/>
    </row>
    <row r="306" spans="11:14" ht="15.75" customHeight="1" x14ac:dyDescent="0.3">
      <c r="K306" s="6"/>
      <c r="L306" s="6"/>
      <c r="M306" s="6"/>
      <c r="N306" s="6"/>
    </row>
    <row r="307" spans="11:14" ht="15.75" customHeight="1" x14ac:dyDescent="0.3">
      <c r="K307" s="6"/>
      <c r="L307" s="6"/>
      <c r="M307" s="6"/>
      <c r="N307" s="6"/>
    </row>
    <row r="308" spans="11:14" ht="15.75" customHeight="1" x14ac:dyDescent="0.3">
      <c r="K308" s="6"/>
      <c r="L308" s="6"/>
      <c r="M308" s="6"/>
      <c r="N308" s="6"/>
    </row>
    <row r="309" spans="11:14" ht="15.75" customHeight="1" x14ac:dyDescent="0.3">
      <c r="K309" s="6"/>
      <c r="L309" s="6"/>
      <c r="M309" s="6"/>
      <c r="N309" s="6"/>
    </row>
    <row r="310" spans="11:14" ht="15.75" customHeight="1" x14ac:dyDescent="0.3">
      <c r="K310" s="6"/>
      <c r="L310" s="6"/>
      <c r="M310" s="6"/>
      <c r="N310" s="6"/>
    </row>
    <row r="311" spans="11:14" ht="15.75" customHeight="1" x14ac:dyDescent="0.3">
      <c r="K311" s="6"/>
      <c r="L311" s="6"/>
      <c r="M311" s="6"/>
      <c r="N311" s="6"/>
    </row>
    <row r="312" spans="11:14" ht="15.75" customHeight="1" x14ac:dyDescent="0.3">
      <c r="K312" s="6"/>
      <c r="L312" s="6"/>
      <c r="M312" s="6"/>
      <c r="N312" s="6"/>
    </row>
    <row r="313" spans="11:14" ht="15.75" customHeight="1" x14ac:dyDescent="0.3">
      <c r="K313" s="6"/>
      <c r="L313" s="6"/>
      <c r="M313" s="6"/>
      <c r="N313" s="6"/>
    </row>
    <row r="314" spans="11:14" ht="15.75" customHeight="1" x14ac:dyDescent="0.3">
      <c r="K314" s="6"/>
      <c r="L314" s="6"/>
      <c r="M314" s="6"/>
      <c r="N314" s="6"/>
    </row>
    <row r="315" spans="11:14" ht="15.75" customHeight="1" x14ac:dyDescent="0.3">
      <c r="K315" s="6"/>
      <c r="L315" s="6"/>
      <c r="M315" s="6"/>
      <c r="N315" s="6"/>
    </row>
    <row r="316" spans="11:14" ht="15.75" customHeight="1" x14ac:dyDescent="0.3">
      <c r="K316" s="6"/>
      <c r="L316" s="6"/>
      <c r="M316" s="6"/>
      <c r="N316" s="6"/>
    </row>
    <row r="317" spans="11:14" ht="15.75" customHeight="1" x14ac:dyDescent="0.3">
      <c r="K317" s="6"/>
      <c r="L317" s="6"/>
      <c r="M317" s="6"/>
      <c r="N317" s="6"/>
    </row>
    <row r="318" spans="11:14" ht="15.75" customHeight="1" x14ac:dyDescent="0.3">
      <c r="K318" s="6"/>
      <c r="L318" s="6"/>
      <c r="M318" s="6"/>
      <c r="N318" s="6"/>
    </row>
    <row r="319" spans="11:14" ht="15.75" customHeight="1" x14ac:dyDescent="0.3">
      <c r="K319" s="6"/>
      <c r="L319" s="6"/>
      <c r="M319" s="6"/>
      <c r="N319" s="6"/>
    </row>
    <row r="320" spans="11:14" ht="15.75" customHeight="1" x14ac:dyDescent="0.3">
      <c r="K320" s="6"/>
      <c r="L320" s="6"/>
      <c r="M320" s="6"/>
      <c r="N320" s="6"/>
    </row>
    <row r="321" spans="11:14" ht="15.75" customHeight="1" x14ac:dyDescent="0.3">
      <c r="K321" s="6"/>
      <c r="L321" s="6"/>
      <c r="M321" s="6"/>
      <c r="N321" s="6"/>
    </row>
    <row r="322" spans="11:14" ht="15.75" customHeight="1" x14ac:dyDescent="0.3">
      <c r="K322" s="6"/>
      <c r="L322" s="6"/>
      <c r="M322" s="6"/>
      <c r="N322" s="6"/>
    </row>
    <row r="323" spans="11:14" ht="15.75" customHeight="1" x14ac:dyDescent="0.3">
      <c r="K323" s="6"/>
      <c r="L323" s="6"/>
      <c r="M323" s="6"/>
      <c r="N323" s="6"/>
    </row>
    <row r="324" spans="11:14" ht="15.75" customHeight="1" x14ac:dyDescent="0.3">
      <c r="K324" s="6"/>
      <c r="L324" s="6"/>
      <c r="M324" s="6"/>
      <c r="N324" s="6"/>
    </row>
    <row r="325" spans="11:14" ht="15.75" customHeight="1" x14ac:dyDescent="0.3">
      <c r="K325" s="6"/>
      <c r="L325" s="6"/>
      <c r="M325" s="6"/>
      <c r="N325" s="6"/>
    </row>
    <row r="326" spans="11:14" ht="15.75" customHeight="1" x14ac:dyDescent="0.3">
      <c r="K326" s="6"/>
      <c r="L326" s="6"/>
      <c r="M326" s="6"/>
      <c r="N326" s="6"/>
    </row>
    <row r="327" spans="11:14" ht="15.75" customHeight="1" x14ac:dyDescent="0.3">
      <c r="K327" s="6"/>
      <c r="L327" s="6"/>
      <c r="M327" s="6"/>
      <c r="N327" s="6"/>
    </row>
    <row r="328" spans="11:14" ht="15.75" customHeight="1" x14ac:dyDescent="0.3">
      <c r="K328" s="6"/>
      <c r="L328" s="6"/>
      <c r="M328" s="6"/>
      <c r="N328" s="6"/>
    </row>
    <row r="329" spans="11:14" ht="15.75" customHeight="1" x14ac:dyDescent="0.3">
      <c r="K329" s="6"/>
      <c r="L329" s="6"/>
      <c r="M329" s="6"/>
      <c r="N329" s="6"/>
    </row>
    <row r="330" spans="11:14" ht="15.75" customHeight="1" x14ac:dyDescent="0.3">
      <c r="K330" s="6"/>
      <c r="L330" s="6"/>
      <c r="M330" s="6"/>
      <c r="N330" s="6"/>
    </row>
    <row r="331" spans="11:14" ht="15.75" customHeight="1" x14ac:dyDescent="0.3">
      <c r="K331" s="6"/>
      <c r="L331" s="6"/>
      <c r="M331" s="6"/>
      <c r="N331" s="6"/>
    </row>
    <row r="332" spans="11:14" ht="15.75" customHeight="1" x14ac:dyDescent="0.3">
      <c r="K332" s="6"/>
      <c r="L332" s="6"/>
      <c r="M332" s="6"/>
      <c r="N332" s="6"/>
    </row>
    <row r="333" spans="11:14" ht="15.75" customHeight="1" x14ac:dyDescent="0.3">
      <c r="K333" s="6"/>
      <c r="L333" s="6"/>
      <c r="M333" s="6"/>
      <c r="N333" s="6"/>
    </row>
    <row r="334" spans="11:14" ht="15.75" customHeight="1" x14ac:dyDescent="0.3">
      <c r="K334" s="6"/>
      <c r="L334" s="6"/>
      <c r="M334" s="6"/>
      <c r="N334" s="6"/>
    </row>
    <row r="335" spans="11:14" ht="15.75" customHeight="1" x14ac:dyDescent="0.3">
      <c r="K335" s="6"/>
      <c r="L335" s="6"/>
      <c r="M335" s="6"/>
      <c r="N335" s="6"/>
    </row>
    <row r="336" spans="11:14" ht="15.75" customHeight="1" x14ac:dyDescent="0.3">
      <c r="K336" s="6"/>
      <c r="L336" s="6"/>
      <c r="M336" s="6"/>
      <c r="N336" s="6"/>
    </row>
    <row r="337" spans="11:14" ht="15.75" customHeight="1" x14ac:dyDescent="0.3">
      <c r="K337" s="6"/>
      <c r="L337" s="6"/>
      <c r="M337" s="6"/>
      <c r="N337" s="6"/>
    </row>
    <row r="338" spans="11:14" ht="15.75" customHeight="1" x14ac:dyDescent="0.3">
      <c r="K338" s="6"/>
      <c r="L338" s="6"/>
      <c r="M338" s="6"/>
      <c r="N338" s="6"/>
    </row>
    <row r="339" spans="11:14" ht="15.75" customHeight="1" x14ac:dyDescent="0.3">
      <c r="K339" s="6"/>
      <c r="L339" s="6"/>
      <c r="M339" s="6"/>
      <c r="N339" s="6"/>
    </row>
    <row r="340" spans="11:14" ht="15.75" customHeight="1" x14ac:dyDescent="0.3">
      <c r="K340" s="6"/>
      <c r="L340" s="6"/>
      <c r="M340" s="6"/>
      <c r="N340" s="6"/>
    </row>
    <row r="341" spans="11:14" ht="15.75" customHeight="1" x14ac:dyDescent="0.3">
      <c r="K341" s="6"/>
      <c r="L341" s="6"/>
      <c r="M341" s="6"/>
      <c r="N341" s="6"/>
    </row>
    <row r="342" spans="11:14" ht="15.75" customHeight="1" x14ac:dyDescent="0.3">
      <c r="K342" s="6"/>
      <c r="L342" s="6"/>
      <c r="M342" s="6"/>
      <c r="N342" s="6"/>
    </row>
    <row r="343" spans="11:14" ht="15.75" customHeight="1" x14ac:dyDescent="0.3">
      <c r="K343" s="6"/>
      <c r="L343" s="6"/>
      <c r="M343" s="6"/>
      <c r="N343" s="6"/>
    </row>
    <row r="344" spans="11:14" ht="15.75" customHeight="1" x14ac:dyDescent="0.3">
      <c r="K344" s="6"/>
      <c r="L344" s="6"/>
      <c r="M344" s="6"/>
      <c r="N344" s="6"/>
    </row>
    <row r="345" spans="11:14" ht="15.75" customHeight="1" x14ac:dyDescent="0.3">
      <c r="K345" s="6"/>
      <c r="L345" s="6"/>
      <c r="M345" s="6"/>
      <c r="N345" s="6"/>
    </row>
    <row r="346" spans="11:14" ht="15.75" customHeight="1" x14ac:dyDescent="0.3">
      <c r="K346" s="6"/>
      <c r="L346" s="6"/>
      <c r="M346" s="6"/>
      <c r="N346" s="6"/>
    </row>
    <row r="347" spans="11:14" ht="15.75" customHeight="1" x14ac:dyDescent="0.3">
      <c r="K347" s="6"/>
      <c r="L347" s="6"/>
      <c r="M347" s="6"/>
      <c r="N347" s="6"/>
    </row>
    <row r="348" spans="11:14" ht="15.75" customHeight="1" x14ac:dyDescent="0.3">
      <c r="K348" s="6"/>
      <c r="L348" s="6"/>
      <c r="M348" s="6"/>
      <c r="N348" s="6"/>
    </row>
    <row r="349" spans="11:14" ht="15.75" customHeight="1" x14ac:dyDescent="0.3">
      <c r="K349" s="6"/>
      <c r="L349" s="6"/>
      <c r="M349" s="6"/>
      <c r="N349" s="6"/>
    </row>
    <row r="350" spans="11:14" ht="15.75" customHeight="1" x14ac:dyDescent="0.3">
      <c r="K350" s="6"/>
      <c r="L350" s="6"/>
      <c r="M350" s="6"/>
      <c r="N350" s="6"/>
    </row>
    <row r="351" spans="11:14" ht="15.75" customHeight="1" x14ac:dyDescent="0.3">
      <c r="K351" s="6"/>
      <c r="L351" s="6"/>
      <c r="M351" s="6"/>
      <c r="N351" s="6"/>
    </row>
    <row r="352" spans="11:14" ht="15.75" customHeight="1" x14ac:dyDescent="0.3">
      <c r="K352" s="6"/>
      <c r="L352" s="6"/>
      <c r="M352" s="6"/>
      <c r="N352" s="6"/>
    </row>
    <row r="353" spans="11:14" ht="15.75" customHeight="1" x14ac:dyDescent="0.3">
      <c r="K353" s="6"/>
      <c r="L353" s="6"/>
      <c r="M353" s="6"/>
      <c r="N353" s="6"/>
    </row>
    <row r="354" spans="11:14" ht="15.75" customHeight="1" x14ac:dyDescent="0.3">
      <c r="K354" s="6"/>
      <c r="L354" s="6"/>
      <c r="M354" s="6"/>
      <c r="N354" s="6"/>
    </row>
    <row r="355" spans="11:14" ht="15.75" customHeight="1" x14ac:dyDescent="0.3">
      <c r="K355" s="6"/>
      <c r="L355" s="6"/>
      <c r="M355" s="6"/>
      <c r="N355" s="6"/>
    </row>
    <row r="356" spans="11:14" ht="15.75" customHeight="1" x14ac:dyDescent="0.3">
      <c r="K356" s="6"/>
      <c r="L356" s="6"/>
      <c r="M356" s="6"/>
      <c r="N356" s="6"/>
    </row>
    <row r="357" spans="11:14" ht="15.75" customHeight="1" x14ac:dyDescent="0.3">
      <c r="K357" s="6"/>
      <c r="L357" s="6"/>
      <c r="M357" s="6"/>
      <c r="N357" s="6"/>
    </row>
    <row r="358" spans="11:14" ht="15.75" customHeight="1" x14ac:dyDescent="0.3">
      <c r="K358" s="6"/>
      <c r="L358" s="6"/>
      <c r="M358" s="6"/>
      <c r="N358" s="6"/>
    </row>
    <row r="359" spans="11:14" ht="15.75" customHeight="1" x14ac:dyDescent="0.3">
      <c r="K359" s="6"/>
      <c r="L359" s="6"/>
      <c r="M359" s="6"/>
      <c r="N359" s="6"/>
    </row>
    <row r="360" spans="11:14" ht="15.75" customHeight="1" x14ac:dyDescent="0.3">
      <c r="K360" s="6"/>
      <c r="L360" s="6"/>
      <c r="M360" s="6"/>
      <c r="N360" s="6"/>
    </row>
    <row r="361" spans="11:14" ht="15.75" customHeight="1" x14ac:dyDescent="0.3">
      <c r="K361" s="6"/>
      <c r="L361" s="6"/>
      <c r="M361" s="6"/>
      <c r="N361" s="6"/>
    </row>
    <row r="362" spans="11:14" ht="15.75" customHeight="1" x14ac:dyDescent="0.3">
      <c r="K362" s="6"/>
      <c r="L362" s="6"/>
      <c r="M362" s="6"/>
      <c r="N362" s="6"/>
    </row>
    <row r="363" spans="11:14" ht="15.75" customHeight="1" x14ac:dyDescent="0.3">
      <c r="K363" s="6"/>
      <c r="L363" s="6"/>
      <c r="M363" s="6"/>
      <c r="N363" s="6"/>
    </row>
    <row r="364" spans="11:14" ht="15.75" customHeight="1" x14ac:dyDescent="0.3">
      <c r="K364" s="6"/>
      <c r="L364" s="6"/>
      <c r="M364" s="6"/>
      <c r="N364" s="6"/>
    </row>
    <row r="365" spans="11:14" ht="15.75" customHeight="1" x14ac:dyDescent="0.3">
      <c r="K365" s="6"/>
      <c r="L365" s="6"/>
      <c r="M365" s="6"/>
      <c r="N365" s="6"/>
    </row>
    <row r="366" spans="11:14" ht="15.75" customHeight="1" x14ac:dyDescent="0.3">
      <c r="K366" s="6"/>
      <c r="L366" s="6"/>
      <c r="M366" s="6"/>
      <c r="N366" s="6"/>
    </row>
    <row r="367" spans="11:14" ht="15.75" customHeight="1" x14ac:dyDescent="0.3">
      <c r="K367" s="6"/>
      <c r="L367" s="6"/>
      <c r="M367" s="6"/>
      <c r="N367" s="6"/>
    </row>
    <row r="368" spans="11:14" ht="15.75" customHeight="1" x14ac:dyDescent="0.3">
      <c r="K368" s="6"/>
      <c r="L368" s="6"/>
      <c r="M368" s="6"/>
      <c r="N368" s="6"/>
    </row>
    <row r="369" spans="11:14" ht="15.75" customHeight="1" x14ac:dyDescent="0.3">
      <c r="K369" s="6"/>
      <c r="L369" s="6"/>
      <c r="M369" s="6"/>
      <c r="N369" s="6"/>
    </row>
    <row r="370" spans="11:14" ht="15.75" customHeight="1" x14ac:dyDescent="0.3">
      <c r="K370" s="6"/>
      <c r="L370" s="6"/>
      <c r="M370" s="6"/>
      <c r="N370" s="6"/>
    </row>
    <row r="371" spans="11:14" ht="15.75" customHeight="1" x14ac:dyDescent="0.3">
      <c r="K371" s="6"/>
      <c r="L371" s="6"/>
      <c r="M371" s="6"/>
      <c r="N371" s="6"/>
    </row>
    <row r="372" spans="11:14" ht="15.75" customHeight="1" x14ac:dyDescent="0.3">
      <c r="K372" s="6"/>
      <c r="L372" s="6"/>
      <c r="M372" s="6"/>
      <c r="N372" s="6"/>
    </row>
    <row r="373" spans="11:14" ht="15.75" customHeight="1" x14ac:dyDescent="0.3">
      <c r="K373" s="6"/>
      <c r="L373" s="6"/>
      <c r="M373" s="6"/>
      <c r="N373" s="6"/>
    </row>
    <row r="374" spans="11:14" ht="15.75" customHeight="1" x14ac:dyDescent="0.3">
      <c r="K374" s="6"/>
      <c r="L374" s="6"/>
      <c r="M374" s="6"/>
      <c r="N374" s="6"/>
    </row>
    <row r="375" spans="11:14" ht="15.75" customHeight="1" x14ac:dyDescent="0.3">
      <c r="K375" s="6"/>
      <c r="L375" s="6"/>
      <c r="M375" s="6"/>
      <c r="N375" s="6"/>
    </row>
    <row r="376" spans="11:14" ht="15.75" customHeight="1" x14ac:dyDescent="0.3">
      <c r="K376" s="6"/>
      <c r="L376" s="6"/>
      <c r="M376" s="6"/>
      <c r="N376" s="6"/>
    </row>
    <row r="377" spans="11:14" ht="15.75" customHeight="1" x14ac:dyDescent="0.3">
      <c r="K377" s="6"/>
      <c r="L377" s="6"/>
      <c r="M377" s="6"/>
      <c r="N377" s="6"/>
    </row>
    <row r="378" spans="11:14" ht="15.75" customHeight="1" x14ac:dyDescent="0.3">
      <c r="K378" s="6"/>
      <c r="L378" s="6"/>
      <c r="M378" s="6"/>
      <c r="N378" s="6"/>
    </row>
    <row r="379" spans="11:14" ht="15.75" customHeight="1" x14ac:dyDescent="0.3">
      <c r="K379" s="6"/>
      <c r="L379" s="6"/>
      <c r="M379" s="6"/>
      <c r="N379" s="6"/>
    </row>
    <row r="380" spans="11:14" ht="15.75" customHeight="1" x14ac:dyDescent="0.3">
      <c r="K380" s="6"/>
      <c r="L380" s="6"/>
      <c r="M380" s="6"/>
      <c r="N380" s="6"/>
    </row>
    <row r="381" spans="11:14" ht="15.75" customHeight="1" x14ac:dyDescent="0.3">
      <c r="K381" s="6"/>
      <c r="L381" s="6"/>
      <c r="M381" s="6"/>
      <c r="N381" s="6"/>
    </row>
    <row r="382" spans="11:14" ht="15.75" customHeight="1" x14ac:dyDescent="0.3">
      <c r="K382" s="6"/>
      <c r="L382" s="6"/>
      <c r="M382" s="6"/>
      <c r="N382" s="6"/>
    </row>
    <row r="383" spans="11:14" ht="15.75" customHeight="1" x14ac:dyDescent="0.3">
      <c r="K383" s="6"/>
      <c r="L383" s="6"/>
      <c r="M383" s="6"/>
      <c r="N383" s="6"/>
    </row>
    <row r="384" spans="11:14" ht="15.75" customHeight="1" x14ac:dyDescent="0.3">
      <c r="K384" s="6"/>
      <c r="L384" s="6"/>
      <c r="M384" s="6"/>
      <c r="N384" s="6"/>
    </row>
    <row r="385" spans="11:14" ht="15.75" customHeight="1" x14ac:dyDescent="0.3">
      <c r="K385" s="6"/>
      <c r="L385" s="6"/>
      <c r="M385" s="6"/>
      <c r="N385" s="6"/>
    </row>
    <row r="386" spans="11:14" ht="15.75" customHeight="1" x14ac:dyDescent="0.3">
      <c r="K386" s="6"/>
      <c r="L386" s="6"/>
      <c r="M386" s="6"/>
      <c r="N386" s="6"/>
    </row>
    <row r="387" spans="11:14" ht="15.75" customHeight="1" x14ac:dyDescent="0.3">
      <c r="K387" s="6"/>
      <c r="L387" s="6"/>
      <c r="M387" s="6"/>
      <c r="N387" s="6"/>
    </row>
    <row r="388" spans="11:14" ht="15.75" customHeight="1" x14ac:dyDescent="0.3">
      <c r="K388" s="6"/>
      <c r="L388" s="6"/>
      <c r="M388" s="6"/>
      <c r="N388" s="6"/>
    </row>
    <row r="389" spans="11:14" ht="15.75" customHeight="1" x14ac:dyDescent="0.3">
      <c r="K389" s="6"/>
      <c r="L389" s="6"/>
      <c r="M389" s="6"/>
      <c r="N389" s="6"/>
    </row>
    <row r="390" spans="11:14" ht="15.75" customHeight="1" x14ac:dyDescent="0.3">
      <c r="K390" s="6"/>
      <c r="L390" s="6"/>
      <c r="M390" s="6"/>
      <c r="N390" s="6"/>
    </row>
    <row r="391" spans="11:14" ht="15.75" customHeight="1" x14ac:dyDescent="0.3">
      <c r="K391" s="6"/>
      <c r="L391" s="6"/>
      <c r="M391" s="6"/>
      <c r="N391" s="6"/>
    </row>
    <row r="392" spans="11:14" ht="15.75" customHeight="1" x14ac:dyDescent="0.3">
      <c r="K392" s="6"/>
      <c r="L392" s="6"/>
      <c r="M392" s="6"/>
      <c r="N392" s="6"/>
    </row>
    <row r="393" spans="11:14" ht="15.75" customHeight="1" x14ac:dyDescent="0.3">
      <c r="K393" s="6"/>
      <c r="L393" s="6"/>
      <c r="M393" s="6"/>
      <c r="N393" s="6"/>
    </row>
    <row r="394" spans="11:14" ht="15.75" customHeight="1" x14ac:dyDescent="0.3">
      <c r="K394" s="6"/>
      <c r="L394" s="6"/>
      <c r="M394" s="6"/>
      <c r="N394" s="6"/>
    </row>
    <row r="395" spans="11:14" ht="15.75" customHeight="1" x14ac:dyDescent="0.3">
      <c r="K395" s="6"/>
      <c r="L395" s="6"/>
      <c r="M395" s="6"/>
      <c r="N395" s="6"/>
    </row>
    <row r="396" spans="11:14" ht="15.75" customHeight="1" x14ac:dyDescent="0.3">
      <c r="K396" s="6"/>
      <c r="L396" s="6"/>
      <c r="M396" s="6"/>
      <c r="N396" s="6"/>
    </row>
    <row r="397" spans="11:14" ht="15.75" customHeight="1" x14ac:dyDescent="0.3">
      <c r="K397" s="6"/>
      <c r="L397" s="6"/>
      <c r="M397" s="6"/>
      <c r="N397" s="6"/>
    </row>
    <row r="398" spans="11:14" ht="15.75" customHeight="1" x14ac:dyDescent="0.3">
      <c r="K398" s="6"/>
      <c r="L398" s="6"/>
      <c r="M398" s="6"/>
      <c r="N398" s="6"/>
    </row>
    <row r="399" spans="11:14" ht="15.75" customHeight="1" x14ac:dyDescent="0.3">
      <c r="K399" s="6"/>
      <c r="L399" s="6"/>
      <c r="M399" s="6"/>
      <c r="N399" s="6"/>
    </row>
    <row r="400" spans="11:14" ht="15.75" customHeight="1" x14ac:dyDescent="0.3">
      <c r="K400" s="6"/>
      <c r="L400" s="6"/>
      <c r="M400" s="6"/>
      <c r="N400" s="6"/>
    </row>
    <row r="401" spans="11:14" ht="15.75" customHeight="1" x14ac:dyDescent="0.3">
      <c r="K401" s="6"/>
      <c r="L401" s="6"/>
      <c r="M401" s="6"/>
      <c r="N401" s="6"/>
    </row>
    <row r="402" spans="11:14" ht="15.75" customHeight="1" x14ac:dyDescent="0.3">
      <c r="K402" s="6"/>
      <c r="L402" s="6"/>
      <c r="M402" s="6"/>
      <c r="N402" s="6"/>
    </row>
    <row r="403" spans="11:14" ht="15.75" customHeight="1" x14ac:dyDescent="0.3">
      <c r="K403" s="6"/>
      <c r="L403" s="6"/>
      <c r="M403" s="6"/>
      <c r="N403" s="6"/>
    </row>
    <row r="404" spans="11:14" ht="15.75" customHeight="1" x14ac:dyDescent="0.3">
      <c r="K404" s="6"/>
      <c r="L404" s="6"/>
      <c r="M404" s="6"/>
      <c r="N404" s="6"/>
    </row>
    <row r="405" spans="11:14" ht="15.75" customHeight="1" x14ac:dyDescent="0.3">
      <c r="K405" s="6"/>
      <c r="L405" s="6"/>
      <c r="M405" s="6"/>
      <c r="N405" s="6"/>
    </row>
    <row r="406" spans="11:14" ht="15.75" customHeight="1" x14ac:dyDescent="0.3">
      <c r="K406" s="6"/>
      <c r="L406" s="6"/>
      <c r="M406" s="6"/>
      <c r="N406" s="6"/>
    </row>
    <row r="407" spans="11:14" ht="15.75" customHeight="1" x14ac:dyDescent="0.3">
      <c r="K407" s="6"/>
      <c r="L407" s="6"/>
      <c r="M407" s="6"/>
      <c r="N407" s="6"/>
    </row>
    <row r="408" spans="11:14" ht="15.75" customHeight="1" x14ac:dyDescent="0.3">
      <c r="K408" s="6"/>
      <c r="L408" s="6"/>
      <c r="M408" s="6"/>
      <c r="N408" s="6"/>
    </row>
    <row r="409" spans="11:14" ht="15.75" customHeight="1" x14ac:dyDescent="0.3">
      <c r="K409" s="6"/>
      <c r="L409" s="6"/>
      <c r="M409" s="6"/>
      <c r="N409" s="6"/>
    </row>
    <row r="410" spans="11:14" ht="15.75" customHeight="1" x14ac:dyDescent="0.3">
      <c r="K410" s="6"/>
      <c r="L410" s="6"/>
      <c r="M410" s="6"/>
      <c r="N410" s="6"/>
    </row>
    <row r="411" spans="11:14" ht="15.75" customHeight="1" x14ac:dyDescent="0.3">
      <c r="K411" s="6"/>
      <c r="L411" s="6"/>
      <c r="M411" s="6"/>
      <c r="N411" s="6"/>
    </row>
    <row r="412" spans="11:14" ht="15.75" customHeight="1" x14ac:dyDescent="0.3">
      <c r="K412" s="6"/>
      <c r="L412" s="6"/>
      <c r="M412" s="6"/>
      <c r="N412" s="6"/>
    </row>
    <row r="413" spans="11:14" ht="15.75" customHeight="1" x14ac:dyDescent="0.3">
      <c r="K413" s="6"/>
      <c r="L413" s="6"/>
      <c r="M413" s="6"/>
      <c r="N413" s="6"/>
    </row>
    <row r="414" spans="11:14" ht="15.75" customHeight="1" x14ac:dyDescent="0.3">
      <c r="K414" s="6"/>
      <c r="L414" s="6"/>
      <c r="M414" s="6"/>
      <c r="N414" s="6"/>
    </row>
    <row r="415" spans="11:14" ht="15.75" customHeight="1" x14ac:dyDescent="0.3">
      <c r="K415" s="6"/>
      <c r="L415" s="6"/>
      <c r="M415" s="6"/>
      <c r="N415" s="6"/>
    </row>
    <row r="416" spans="11:14" ht="15.75" customHeight="1" x14ac:dyDescent="0.3">
      <c r="K416" s="6"/>
      <c r="L416" s="6"/>
      <c r="M416" s="6"/>
      <c r="N416" s="6"/>
    </row>
    <row r="417" spans="11:14" ht="15.75" customHeight="1" x14ac:dyDescent="0.3">
      <c r="K417" s="6"/>
      <c r="L417" s="6"/>
      <c r="M417" s="6"/>
      <c r="N417" s="6"/>
    </row>
    <row r="418" spans="11:14" ht="15.75" customHeight="1" x14ac:dyDescent="0.3">
      <c r="K418" s="6"/>
      <c r="L418" s="6"/>
      <c r="M418" s="6"/>
      <c r="N418" s="6"/>
    </row>
    <row r="419" spans="11:14" ht="15.75" customHeight="1" x14ac:dyDescent="0.3">
      <c r="K419" s="6"/>
      <c r="L419" s="6"/>
      <c r="M419" s="6"/>
      <c r="N419" s="6"/>
    </row>
    <row r="420" spans="11:14" ht="15.75" customHeight="1" x14ac:dyDescent="0.3">
      <c r="K420" s="6"/>
      <c r="L420" s="6"/>
      <c r="M420" s="6"/>
      <c r="N420" s="6"/>
    </row>
    <row r="421" spans="11:14" ht="15.75" customHeight="1" x14ac:dyDescent="0.3">
      <c r="K421" s="6"/>
      <c r="L421" s="6"/>
      <c r="M421" s="6"/>
      <c r="N421" s="6"/>
    </row>
    <row r="422" spans="11:14" ht="15.75" customHeight="1" x14ac:dyDescent="0.3">
      <c r="K422" s="6"/>
      <c r="L422" s="6"/>
      <c r="M422" s="6"/>
      <c r="N422" s="6"/>
    </row>
    <row r="423" spans="11:14" ht="15.75" customHeight="1" x14ac:dyDescent="0.3">
      <c r="K423" s="6"/>
      <c r="L423" s="6"/>
      <c r="M423" s="6"/>
      <c r="N423" s="6"/>
    </row>
    <row r="424" spans="11:14" ht="15.75" customHeight="1" x14ac:dyDescent="0.3">
      <c r="K424" s="6"/>
      <c r="L424" s="6"/>
      <c r="M424" s="6"/>
      <c r="N424" s="6"/>
    </row>
    <row r="425" spans="11:14" ht="15.75" customHeight="1" x14ac:dyDescent="0.3">
      <c r="K425" s="6"/>
      <c r="L425" s="6"/>
      <c r="M425" s="6"/>
      <c r="N425" s="6"/>
    </row>
    <row r="426" spans="11:14" ht="15.75" customHeight="1" x14ac:dyDescent="0.3">
      <c r="K426" s="6"/>
      <c r="L426" s="6"/>
      <c r="M426" s="6"/>
      <c r="N426" s="6"/>
    </row>
    <row r="427" spans="11:14" ht="15.75" customHeight="1" x14ac:dyDescent="0.3">
      <c r="K427" s="6"/>
      <c r="L427" s="6"/>
      <c r="M427" s="6"/>
      <c r="N427" s="6"/>
    </row>
    <row r="428" spans="11:14" ht="15.75" customHeight="1" x14ac:dyDescent="0.3">
      <c r="K428" s="6"/>
      <c r="L428" s="6"/>
      <c r="M428" s="6"/>
      <c r="N428" s="6"/>
    </row>
    <row r="429" spans="11:14" ht="15.75" customHeight="1" x14ac:dyDescent="0.3">
      <c r="K429" s="6"/>
      <c r="L429" s="6"/>
      <c r="M429" s="6"/>
      <c r="N429" s="6"/>
    </row>
    <row r="430" spans="11:14" ht="15.75" customHeight="1" x14ac:dyDescent="0.3">
      <c r="K430" s="6"/>
      <c r="L430" s="6"/>
      <c r="M430" s="6"/>
      <c r="N430" s="6"/>
    </row>
    <row r="431" spans="11:14" ht="15.75" customHeight="1" x14ac:dyDescent="0.3">
      <c r="K431" s="6"/>
      <c r="L431" s="6"/>
      <c r="M431" s="6"/>
      <c r="N431" s="6"/>
    </row>
    <row r="432" spans="11:14" ht="15.75" customHeight="1" x14ac:dyDescent="0.3">
      <c r="K432" s="6"/>
      <c r="L432" s="6"/>
      <c r="M432" s="6"/>
      <c r="N432" s="6"/>
    </row>
    <row r="433" spans="11:14" ht="15.75" customHeight="1" x14ac:dyDescent="0.3">
      <c r="K433" s="6"/>
      <c r="L433" s="6"/>
      <c r="M433" s="6"/>
      <c r="N433" s="6"/>
    </row>
    <row r="434" spans="11:14" ht="15.75" customHeight="1" x14ac:dyDescent="0.3">
      <c r="K434" s="6"/>
      <c r="L434" s="6"/>
      <c r="M434" s="6"/>
      <c r="N434" s="6"/>
    </row>
    <row r="435" spans="11:14" ht="15.75" customHeight="1" x14ac:dyDescent="0.3">
      <c r="K435" s="6"/>
      <c r="L435" s="6"/>
      <c r="M435" s="6"/>
      <c r="N435" s="6"/>
    </row>
    <row r="436" spans="11:14" ht="15.75" customHeight="1" x14ac:dyDescent="0.3">
      <c r="K436" s="6"/>
      <c r="L436" s="6"/>
      <c r="M436" s="6"/>
      <c r="N436" s="6"/>
    </row>
    <row r="437" spans="11:14" ht="15.75" customHeight="1" x14ac:dyDescent="0.3">
      <c r="K437" s="6"/>
      <c r="L437" s="6"/>
      <c r="M437" s="6"/>
      <c r="N437" s="6"/>
    </row>
    <row r="438" spans="11:14" ht="15.75" customHeight="1" x14ac:dyDescent="0.3">
      <c r="K438" s="6"/>
      <c r="L438" s="6"/>
      <c r="M438" s="6"/>
      <c r="N438" s="6"/>
    </row>
    <row r="439" spans="11:14" ht="15.75" customHeight="1" x14ac:dyDescent="0.3">
      <c r="K439" s="6"/>
      <c r="L439" s="6"/>
      <c r="M439" s="6"/>
      <c r="N439" s="6"/>
    </row>
    <row r="440" spans="11:14" ht="15.75" customHeight="1" x14ac:dyDescent="0.3">
      <c r="K440" s="6"/>
      <c r="L440" s="6"/>
      <c r="M440" s="6"/>
      <c r="N440" s="6"/>
    </row>
    <row r="441" spans="11:14" ht="15.75" customHeight="1" x14ac:dyDescent="0.3">
      <c r="K441" s="6"/>
      <c r="L441" s="6"/>
      <c r="M441" s="6"/>
      <c r="N441" s="6"/>
    </row>
    <row r="442" spans="11:14" ht="15.75" customHeight="1" x14ac:dyDescent="0.3">
      <c r="K442" s="6"/>
      <c r="L442" s="6"/>
      <c r="M442" s="6"/>
      <c r="N442" s="6"/>
    </row>
    <row r="443" spans="11:14" ht="15.75" customHeight="1" x14ac:dyDescent="0.3">
      <c r="K443" s="6"/>
      <c r="L443" s="6"/>
      <c r="M443" s="6"/>
      <c r="N443" s="6"/>
    </row>
    <row r="444" spans="11:14" ht="15.75" customHeight="1" x14ac:dyDescent="0.3">
      <c r="K444" s="6"/>
      <c r="L444" s="6"/>
      <c r="M444" s="6"/>
      <c r="N444" s="6"/>
    </row>
    <row r="445" spans="11:14" ht="15.75" customHeight="1" x14ac:dyDescent="0.3">
      <c r="K445" s="6"/>
      <c r="L445" s="6"/>
      <c r="M445" s="6"/>
      <c r="N445" s="6"/>
    </row>
    <row r="446" spans="11:14" ht="15.75" customHeight="1" x14ac:dyDescent="0.3">
      <c r="K446" s="6"/>
      <c r="L446" s="6"/>
      <c r="M446" s="6"/>
      <c r="N446" s="6"/>
    </row>
    <row r="447" spans="11:14" ht="15.75" customHeight="1" x14ac:dyDescent="0.3">
      <c r="K447" s="6"/>
      <c r="L447" s="6"/>
      <c r="M447" s="6"/>
      <c r="N447" s="6"/>
    </row>
    <row r="448" spans="11:14" ht="15.75" customHeight="1" x14ac:dyDescent="0.3">
      <c r="K448" s="6"/>
      <c r="L448" s="6"/>
      <c r="M448" s="6"/>
      <c r="N448" s="6"/>
    </row>
    <row r="449" spans="11:14" ht="15.75" customHeight="1" x14ac:dyDescent="0.3">
      <c r="K449" s="6"/>
      <c r="L449" s="6"/>
      <c r="M449" s="6"/>
      <c r="N449" s="6"/>
    </row>
    <row r="450" spans="11:14" ht="15.75" customHeight="1" x14ac:dyDescent="0.3">
      <c r="K450" s="6"/>
      <c r="L450" s="6"/>
      <c r="M450" s="6"/>
      <c r="N450" s="6"/>
    </row>
    <row r="451" spans="11:14" ht="15.75" customHeight="1" x14ac:dyDescent="0.3">
      <c r="K451" s="6"/>
      <c r="L451" s="6"/>
      <c r="M451" s="6"/>
      <c r="N451" s="6"/>
    </row>
    <row r="452" spans="11:14" ht="15.75" customHeight="1" x14ac:dyDescent="0.3">
      <c r="K452" s="6"/>
      <c r="L452" s="6"/>
      <c r="M452" s="6"/>
      <c r="N452" s="6"/>
    </row>
    <row r="453" spans="11:14" ht="15.75" customHeight="1" x14ac:dyDescent="0.3">
      <c r="K453" s="6"/>
      <c r="L453" s="6"/>
      <c r="M453" s="6"/>
      <c r="N453" s="6"/>
    </row>
    <row r="454" spans="11:14" ht="15.75" customHeight="1" x14ac:dyDescent="0.3">
      <c r="K454" s="6"/>
      <c r="L454" s="6"/>
      <c r="M454" s="6"/>
      <c r="N454" s="6"/>
    </row>
    <row r="455" spans="11:14" ht="15.75" customHeight="1" x14ac:dyDescent="0.3">
      <c r="K455" s="6"/>
      <c r="L455" s="6"/>
      <c r="M455" s="6"/>
      <c r="N455" s="6"/>
    </row>
    <row r="456" spans="11:14" ht="15.75" customHeight="1" x14ac:dyDescent="0.3">
      <c r="K456" s="6"/>
      <c r="L456" s="6"/>
      <c r="M456" s="6"/>
      <c r="N456" s="6"/>
    </row>
    <row r="457" spans="11:14" ht="15.75" customHeight="1" x14ac:dyDescent="0.3">
      <c r="K457" s="6"/>
      <c r="L457" s="6"/>
      <c r="M457" s="6"/>
      <c r="N457" s="6"/>
    </row>
    <row r="458" spans="11:14" ht="15.75" customHeight="1" x14ac:dyDescent="0.3">
      <c r="K458" s="6"/>
      <c r="L458" s="6"/>
      <c r="M458" s="6"/>
      <c r="N458" s="6"/>
    </row>
    <row r="459" spans="11:14" ht="15.75" customHeight="1" x14ac:dyDescent="0.3">
      <c r="K459" s="6"/>
      <c r="L459" s="6"/>
      <c r="M459" s="6"/>
      <c r="N459" s="6"/>
    </row>
    <row r="460" spans="11:14" ht="15.75" customHeight="1" x14ac:dyDescent="0.3">
      <c r="K460" s="6"/>
      <c r="L460" s="6"/>
      <c r="M460" s="6"/>
      <c r="N460" s="6"/>
    </row>
    <row r="461" spans="11:14" ht="15.75" customHeight="1" x14ac:dyDescent="0.3">
      <c r="K461" s="6"/>
      <c r="L461" s="6"/>
      <c r="M461" s="6"/>
      <c r="N461" s="6"/>
    </row>
    <row r="462" spans="11:14" ht="15.75" customHeight="1" x14ac:dyDescent="0.3">
      <c r="K462" s="6"/>
      <c r="L462" s="6"/>
      <c r="M462" s="6"/>
      <c r="N462" s="6"/>
    </row>
    <row r="463" spans="11:14" ht="15.75" customHeight="1" x14ac:dyDescent="0.3">
      <c r="K463" s="6"/>
      <c r="L463" s="6"/>
      <c r="M463" s="6"/>
      <c r="N463" s="6"/>
    </row>
    <row r="464" spans="11:14" ht="15.75" customHeight="1" x14ac:dyDescent="0.3">
      <c r="K464" s="6"/>
      <c r="L464" s="6"/>
      <c r="M464" s="6"/>
      <c r="N464" s="6"/>
    </row>
    <row r="465" spans="11:14" ht="15.75" customHeight="1" x14ac:dyDescent="0.3">
      <c r="K465" s="6"/>
      <c r="L465" s="6"/>
      <c r="M465" s="6"/>
      <c r="N465" s="6"/>
    </row>
    <row r="466" spans="11:14" ht="15.75" customHeight="1" x14ac:dyDescent="0.3">
      <c r="K466" s="6"/>
      <c r="L466" s="6"/>
      <c r="M466" s="6"/>
      <c r="N466" s="6"/>
    </row>
    <row r="467" spans="11:14" ht="15.75" customHeight="1" x14ac:dyDescent="0.3">
      <c r="K467" s="6"/>
      <c r="L467" s="6"/>
      <c r="M467" s="6"/>
      <c r="N467" s="6"/>
    </row>
    <row r="468" spans="11:14" ht="15.75" customHeight="1" x14ac:dyDescent="0.3">
      <c r="K468" s="6"/>
      <c r="L468" s="6"/>
      <c r="M468" s="6"/>
      <c r="N468" s="6"/>
    </row>
    <row r="469" spans="11:14" ht="15.75" customHeight="1" x14ac:dyDescent="0.3">
      <c r="K469" s="6"/>
      <c r="L469" s="6"/>
      <c r="M469" s="6"/>
      <c r="N469" s="6"/>
    </row>
    <row r="470" spans="11:14" ht="15.75" customHeight="1" x14ac:dyDescent="0.3">
      <c r="K470" s="6"/>
      <c r="L470" s="6"/>
      <c r="M470" s="6"/>
      <c r="N470" s="6"/>
    </row>
    <row r="471" spans="11:14" ht="15.75" customHeight="1" x14ac:dyDescent="0.3">
      <c r="K471" s="6"/>
      <c r="L471" s="6"/>
      <c r="M471" s="6"/>
      <c r="N471" s="6"/>
    </row>
    <row r="472" spans="11:14" ht="15.75" customHeight="1" x14ac:dyDescent="0.3">
      <c r="K472" s="6"/>
      <c r="L472" s="6"/>
      <c r="M472" s="6"/>
      <c r="N472" s="6"/>
    </row>
    <row r="473" spans="11:14" ht="15.75" customHeight="1" x14ac:dyDescent="0.3">
      <c r="K473" s="6"/>
      <c r="L473" s="6"/>
      <c r="M473" s="6"/>
      <c r="N473" s="6"/>
    </row>
    <row r="474" spans="11:14" ht="15.75" customHeight="1" x14ac:dyDescent="0.3">
      <c r="K474" s="6"/>
      <c r="L474" s="6"/>
      <c r="M474" s="6"/>
      <c r="N474" s="6"/>
    </row>
    <row r="475" spans="11:14" ht="15.75" customHeight="1" x14ac:dyDescent="0.3">
      <c r="K475" s="6"/>
      <c r="L475" s="6"/>
      <c r="M475" s="6"/>
      <c r="N475" s="6"/>
    </row>
    <row r="476" spans="11:14" ht="15.75" customHeight="1" x14ac:dyDescent="0.3">
      <c r="K476" s="6"/>
      <c r="L476" s="6"/>
      <c r="M476" s="6"/>
      <c r="N476" s="6"/>
    </row>
    <row r="477" spans="11:14" ht="15.75" customHeight="1" x14ac:dyDescent="0.3">
      <c r="K477" s="6"/>
      <c r="L477" s="6"/>
      <c r="M477" s="6"/>
      <c r="N477" s="6"/>
    </row>
    <row r="478" spans="11:14" ht="15.75" customHeight="1" x14ac:dyDescent="0.3">
      <c r="K478" s="6"/>
      <c r="L478" s="6"/>
      <c r="M478" s="6"/>
      <c r="N478" s="6"/>
    </row>
    <row r="479" spans="11:14" ht="15.75" customHeight="1" x14ac:dyDescent="0.3">
      <c r="K479" s="6"/>
      <c r="L479" s="6"/>
      <c r="M479" s="6"/>
      <c r="N479" s="6"/>
    </row>
    <row r="480" spans="11:14" ht="15.75" customHeight="1" x14ac:dyDescent="0.3">
      <c r="K480" s="6"/>
      <c r="L480" s="6"/>
      <c r="M480" s="6"/>
      <c r="N480" s="6"/>
    </row>
    <row r="481" spans="11:14" ht="15.75" customHeight="1" x14ac:dyDescent="0.3">
      <c r="K481" s="6"/>
      <c r="L481" s="6"/>
      <c r="M481" s="6"/>
      <c r="N481" s="6"/>
    </row>
    <row r="482" spans="11:14" ht="15.75" customHeight="1" x14ac:dyDescent="0.3">
      <c r="K482" s="6"/>
      <c r="L482" s="6"/>
      <c r="M482" s="6"/>
      <c r="N482" s="6"/>
    </row>
    <row r="483" spans="11:14" ht="15.75" customHeight="1" x14ac:dyDescent="0.3">
      <c r="K483" s="6"/>
      <c r="L483" s="6"/>
      <c r="M483" s="6"/>
      <c r="N483" s="6"/>
    </row>
    <row r="484" spans="11:14" ht="15.75" customHeight="1" x14ac:dyDescent="0.3">
      <c r="K484" s="6"/>
      <c r="L484" s="6"/>
      <c r="M484" s="6"/>
      <c r="N484" s="6"/>
    </row>
    <row r="485" spans="11:14" ht="15.75" customHeight="1" x14ac:dyDescent="0.3">
      <c r="K485" s="6"/>
      <c r="L485" s="6"/>
      <c r="M485" s="6"/>
      <c r="N485" s="6"/>
    </row>
    <row r="486" spans="11:14" ht="15.75" customHeight="1" x14ac:dyDescent="0.3">
      <c r="K486" s="6"/>
      <c r="L486" s="6"/>
      <c r="M486" s="6"/>
      <c r="N486" s="6"/>
    </row>
    <row r="487" spans="11:14" ht="15.75" customHeight="1" x14ac:dyDescent="0.3">
      <c r="K487" s="6"/>
      <c r="L487" s="6"/>
      <c r="M487" s="6"/>
      <c r="N487" s="6"/>
    </row>
    <row r="488" spans="11:14" ht="15.75" customHeight="1" x14ac:dyDescent="0.3">
      <c r="K488" s="6"/>
      <c r="L488" s="6"/>
      <c r="M488" s="6"/>
      <c r="N488" s="6"/>
    </row>
    <row r="489" spans="11:14" ht="15.75" customHeight="1" x14ac:dyDescent="0.3">
      <c r="K489" s="6"/>
      <c r="L489" s="6"/>
      <c r="M489" s="6"/>
      <c r="N489" s="6"/>
    </row>
    <row r="490" spans="11:14" ht="15.75" customHeight="1" x14ac:dyDescent="0.3">
      <c r="K490" s="6"/>
      <c r="L490" s="6"/>
      <c r="M490" s="6"/>
      <c r="N490" s="6"/>
    </row>
    <row r="491" spans="11:14" ht="15.75" customHeight="1" x14ac:dyDescent="0.3">
      <c r="K491" s="6"/>
      <c r="L491" s="6"/>
      <c r="M491" s="6"/>
      <c r="N491" s="6"/>
    </row>
    <row r="492" spans="11:14" ht="15.75" customHeight="1" x14ac:dyDescent="0.3">
      <c r="K492" s="6"/>
      <c r="L492" s="6"/>
      <c r="M492" s="6"/>
      <c r="N492" s="6"/>
    </row>
    <row r="493" spans="11:14" ht="15.75" customHeight="1" x14ac:dyDescent="0.3">
      <c r="K493" s="6"/>
      <c r="L493" s="6"/>
      <c r="M493" s="6"/>
      <c r="N493" s="6"/>
    </row>
    <row r="494" spans="11:14" ht="15.75" customHeight="1" x14ac:dyDescent="0.3">
      <c r="K494" s="6"/>
      <c r="L494" s="6"/>
      <c r="M494" s="6"/>
      <c r="N494" s="6"/>
    </row>
    <row r="495" spans="11:14" ht="15.75" customHeight="1" x14ac:dyDescent="0.3">
      <c r="K495" s="6"/>
      <c r="L495" s="6"/>
      <c r="M495" s="6"/>
      <c r="N495" s="6"/>
    </row>
    <row r="496" spans="11:14" ht="15.75" customHeight="1" x14ac:dyDescent="0.3">
      <c r="K496" s="6"/>
      <c r="L496" s="6"/>
      <c r="M496" s="6"/>
      <c r="N496" s="6"/>
    </row>
    <row r="497" spans="11:14" ht="15.75" customHeight="1" x14ac:dyDescent="0.3">
      <c r="K497" s="6"/>
      <c r="L497" s="6"/>
      <c r="M497" s="6"/>
      <c r="N497" s="6"/>
    </row>
    <row r="498" spans="11:14" ht="15.75" customHeight="1" x14ac:dyDescent="0.3">
      <c r="K498" s="6"/>
      <c r="L498" s="6"/>
      <c r="M498" s="6"/>
      <c r="N498" s="6"/>
    </row>
    <row r="499" spans="11:14" ht="15.75" customHeight="1" x14ac:dyDescent="0.3">
      <c r="K499" s="6"/>
      <c r="L499" s="6"/>
      <c r="M499" s="6"/>
      <c r="N499" s="6"/>
    </row>
    <row r="500" spans="11:14" ht="15.75" customHeight="1" x14ac:dyDescent="0.3">
      <c r="K500" s="6"/>
      <c r="L500" s="6"/>
      <c r="M500" s="6"/>
      <c r="N500" s="6"/>
    </row>
    <row r="501" spans="11:14" ht="15.75" customHeight="1" x14ac:dyDescent="0.3">
      <c r="K501" s="6"/>
      <c r="L501" s="6"/>
      <c r="M501" s="6"/>
      <c r="N501" s="6"/>
    </row>
    <row r="502" spans="11:14" ht="15.75" customHeight="1" x14ac:dyDescent="0.3">
      <c r="K502" s="6"/>
      <c r="L502" s="6"/>
      <c r="M502" s="6"/>
      <c r="N502" s="6"/>
    </row>
    <row r="503" spans="11:14" ht="15.75" customHeight="1" x14ac:dyDescent="0.3">
      <c r="K503" s="6"/>
      <c r="L503" s="6"/>
      <c r="M503" s="6"/>
      <c r="N503" s="6"/>
    </row>
    <row r="504" spans="11:14" ht="15.75" customHeight="1" x14ac:dyDescent="0.3">
      <c r="K504" s="6"/>
      <c r="L504" s="6"/>
      <c r="M504" s="6"/>
      <c r="N504" s="6"/>
    </row>
    <row r="505" spans="11:14" ht="15.75" customHeight="1" x14ac:dyDescent="0.3">
      <c r="K505" s="6"/>
      <c r="L505" s="6"/>
      <c r="M505" s="6"/>
      <c r="N505" s="6"/>
    </row>
    <row r="506" spans="11:14" ht="15.75" customHeight="1" x14ac:dyDescent="0.3">
      <c r="K506" s="6"/>
      <c r="L506" s="6"/>
      <c r="M506" s="6"/>
      <c r="N506" s="6"/>
    </row>
    <row r="507" spans="11:14" ht="15.75" customHeight="1" x14ac:dyDescent="0.3">
      <c r="K507" s="6"/>
      <c r="L507" s="6"/>
      <c r="M507" s="6"/>
      <c r="N507" s="6"/>
    </row>
    <row r="508" spans="11:14" ht="15.75" customHeight="1" x14ac:dyDescent="0.3">
      <c r="K508" s="6"/>
      <c r="L508" s="6"/>
      <c r="M508" s="6"/>
      <c r="N508" s="6"/>
    </row>
    <row r="509" spans="11:14" ht="15.75" customHeight="1" x14ac:dyDescent="0.3">
      <c r="K509" s="6"/>
      <c r="L509" s="6"/>
      <c r="M509" s="6"/>
      <c r="N509" s="6"/>
    </row>
    <row r="510" spans="11:14" ht="15.75" customHeight="1" x14ac:dyDescent="0.3">
      <c r="K510" s="6"/>
      <c r="L510" s="6"/>
      <c r="M510" s="6"/>
      <c r="N510" s="6"/>
    </row>
    <row r="511" spans="11:14" ht="15.75" customHeight="1" x14ac:dyDescent="0.3">
      <c r="K511" s="6"/>
      <c r="L511" s="6"/>
      <c r="M511" s="6"/>
      <c r="N511" s="6"/>
    </row>
    <row r="512" spans="11:14" ht="15.75" customHeight="1" x14ac:dyDescent="0.3">
      <c r="K512" s="6"/>
      <c r="L512" s="6"/>
      <c r="M512" s="6"/>
      <c r="N512" s="6"/>
    </row>
    <row r="513" spans="11:14" ht="15.75" customHeight="1" x14ac:dyDescent="0.3">
      <c r="K513" s="6"/>
      <c r="L513" s="6"/>
      <c r="M513" s="6"/>
      <c r="N513" s="6"/>
    </row>
    <row r="514" spans="11:14" ht="15.75" customHeight="1" x14ac:dyDescent="0.3">
      <c r="K514" s="6"/>
      <c r="L514" s="6"/>
      <c r="M514" s="6"/>
      <c r="N514" s="6"/>
    </row>
    <row r="515" spans="11:14" ht="15.75" customHeight="1" x14ac:dyDescent="0.3">
      <c r="K515" s="6"/>
      <c r="L515" s="6"/>
      <c r="M515" s="6"/>
      <c r="N515" s="6"/>
    </row>
    <row r="516" spans="11:14" ht="15.75" customHeight="1" x14ac:dyDescent="0.3">
      <c r="K516" s="6"/>
      <c r="L516" s="6"/>
      <c r="M516" s="6"/>
      <c r="N516" s="6"/>
    </row>
    <row r="517" spans="11:14" ht="15.75" customHeight="1" x14ac:dyDescent="0.3">
      <c r="K517" s="6"/>
      <c r="L517" s="6"/>
      <c r="M517" s="6"/>
      <c r="N517" s="6"/>
    </row>
    <row r="518" spans="11:14" ht="15.75" customHeight="1" x14ac:dyDescent="0.3">
      <c r="K518" s="6"/>
      <c r="L518" s="6"/>
      <c r="M518" s="6"/>
      <c r="N518" s="6"/>
    </row>
    <row r="519" spans="11:14" ht="15.75" customHeight="1" x14ac:dyDescent="0.3">
      <c r="K519" s="6"/>
      <c r="L519" s="6"/>
      <c r="M519" s="6"/>
      <c r="N519" s="6"/>
    </row>
    <row r="520" spans="11:14" ht="15.75" customHeight="1" x14ac:dyDescent="0.3">
      <c r="K520" s="6"/>
      <c r="L520" s="6"/>
      <c r="M520" s="6"/>
      <c r="N520" s="6"/>
    </row>
    <row r="521" spans="11:14" ht="15.75" customHeight="1" x14ac:dyDescent="0.3">
      <c r="K521" s="6"/>
      <c r="L521" s="6"/>
      <c r="M521" s="6"/>
      <c r="N521" s="6"/>
    </row>
    <row r="522" spans="11:14" ht="15.75" customHeight="1" x14ac:dyDescent="0.3">
      <c r="K522" s="6"/>
      <c r="L522" s="6"/>
      <c r="M522" s="6"/>
      <c r="N522" s="6"/>
    </row>
    <row r="523" spans="11:14" ht="15.75" customHeight="1" x14ac:dyDescent="0.3">
      <c r="K523" s="6"/>
      <c r="L523" s="6"/>
      <c r="M523" s="6"/>
      <c r="N523" s="6"/>
    </row>
    <row r="524" spans="11:14" ht="15.75" customHeight="1" x14ac:dyDescent="0.3">
      <c r="K524" s="6"/>
      <c r="L524" s="6"/>
      <c r="M524" s="6"/>
      <c r="N524" s="6"/>
    </row>
    <row r="525" spans="11:14" ht="15.75" customHeight="1" x14ac:dyDescent="0.3">
      <c r="K525" s="6"/>
      <c r="L525" s="6"/>
      <c r="M525" s="6"/>
      <c r="N525" s="6"/>
    </row>
    <row r="526" spans="11:14" ht="15.75" customHeight="1" x14ac:dyDescent="0.3">
      <c r="K526" s="6"/>
      <c r="L526" s="6"/>
      <c r="M526" s="6"/>
      <c r="N526" s="6"/>
    </row>
    <row r="527" spans="11:14" ht="15.75" customHeight="1" x14ac:dyDescent="0.3">
      <c r="K527" s="6"/>
      <c r="L527" s="6"/>
      <c r="M527" s="6"/>
      <c r="N527" s="6"/>
    </row>
    <row r="528" spans="11:14" ht="15.75" customHeight="1" x14ac:dyDescent="0.3">
      <c r="K528" s="6"/>
      <c r="L528" s="6"/>
      <c r="M528" s="6"/>
      <c r="N528" s="6"/>
    </row>
    <row r="529" spans="11:14" ht="15.75" customHeight="1" x14ac:dyDescent="0.3">
      <c r="K529" s="6"/>
      <c r="L529" s="6"/>
      <c r="M529" s="6"/>
      <c r="N529" s="6"/>
    </row>
    <row r="530" spans="11:14" ht="15.75" customHeight="1" x14ac:dyDescent="0.3">
      <c r="K530" s="6"/>
      <c r="L530" s="6"/>
      <c r="M530" s="6"/>
      <c r="N530" s="6"/>
    </row>
    <row r="531" spans="11:14" ht="15.75" customHeight="1" x14ac:dyDescent="0.3">
      <c r="K531" s="6"/>
      <c r="L531" s="6"/>
      <c r="M531" s="6"/>
      <c r="N531" s="6"/>
    </row>
    <row r="532" spans="11:14" ht="15.75" customHeight="1" x14ac:dyDescent="0.3">
      <c r="K532" s="6"/>
      <c r="L532" s="6"/>
      <c r="M532" s="6"/>
      <c r="N532" s="6"/>
    </row>
    <row r="533" spans="11:14" ht="15.75" customHeight="1" x14ac:dyDescent="0.3">
      <c r="K533" s="6"/>
      <c r="L533" s="6"/>
      <c r="M533" s="6"/>
      <c r="N533" s="6"/>
    </row>
    <row r="534" spans="11:14" ht="15.75" customHeight="1" x14ac:dyDescent="0.3">
      <c r="K534" s="6"/>
      <c r="L534" s="6"/>
      <c r="M534" s="6"/>
      <c r="N534" s="6"/>
    </row>
    <row r="535" spans="11:14" ht="15.75" customHeight="1" x14ac:dyDescent="0.3">
      <c r="K535" s="6"/>
      <c r="L535" s="6"/>
      <c r="M535" s="6"/>
      <c r="N535" s="6"/>
    </row>
    <row r="536" spans="11:14" ht="15.75" customHeight="1" x14ac:dyDescent="0.3">
      <c r="K536" s="6"/>
      <c r="L536" s="6"/>
      <c r="M536" s="6"/>
      <c r="N536" s="6"/>
    </row>
    <row r="537" spans="11:14" ht="15.75" customHeight="1" x14ac:dyDescent="0.3">
      <c r="K537" s="6"/>
      <c r="L537" s="6"/>
      <c r="M537" s="6"/>
      <c r="N537" s="6"/>
    </row>
    <row r="538" spans="11:14" ht="15.75" customHeight="1" x14ac:dyDescent="0.3">
      <c r="K538" s="6"/>
      <c r="L538" s="6"/>
      <c r="M538" s="6"/>
      <c r="N538" s="6"/>
    </row>
    <row r="539" spans="11:14" ht="15.75" customHeight="1" x14ac:dyDescent="0.3">
      <c r="K539" s="6"/>
      <c r="L539" s="6"/>
      <c r="M539" s="6"/>
      <c r="N539" s="6"/>
    </row>
    <row r="540" spans="11:14" ht="15.75" customHeight="1" x14ac:dyDescent="0.3">
      <c r="K540" s="6"/>
      <c r="L540" s="6"/>
      <c r="M540" s="6"/>
      <c r="N540" s="6"/>
    </row>
    <row r="541" spans="11:14" ht="15.75" customHeight="1" x14ac:dyDescent="0.3">
      <c r="K541" s="6"/>
      <c r="L541" s="6"/>
      <c r="M541" s="6"/>
      <c r="N541" s="6"/>
    </row>
    <row r="542" spans="11:14" ht="15.75" customHeight="1" x14ac:dyDescent="0.3">
      <c r="K542" s="6"/>
      <c r="L542" s="6"/>
      <c r="M542" s="6"/>
      <c r="N542" s="6"/>
    </row>
    <row r="543" spans="11:14" ht="15.75" customHeight="1" x14ac:dyDescent="0.3">
      <c r="K543" s="6"/>
      <c r="L543" s="6"/>
      <c r="M543" s="6"/>
      <c r="N543" s="6"/>
    </row>
    <row r="544" spans="11:14" ht="15.75" customHeight="1" x14ac:dyDescent="0.3">
      <c r="K544" s="6"/>
      <c r="L544" s="6"/>
      <c r="M544" s="6"/>
      <c r="N544" s="6"/>
    </row>
    <row r="545" spans="11:14" ht="15.75" customHeight="1" x14ac:dyDescent="0.3">
      <c r="K545" s="6"/>
      <c r="L545" s="6"/>
      <c r="M545" s="6"/>
      <c r="N545" s="6"/>
    </row>
    <row r="546" spans="11:14" ht="15.75" customHeight="1" x14ac:dyDescent="0.3">
      <c r="K546" s="6"/>
      <c r="L546" s="6"/>
      <c r="M546" s="6"/>
      <c r="N546" s="6"/>
    </row>
    <row r="547" spans="11:14" ht="15.75" customHeight="1" x14ac:dyDescent="0.3">
      <c r="K547" s="6"/>
      <c r="L547" s="6"/>
      <c r="M547" s="6"/>
      <c r="N547" s="6"/>
    </row>
    <row r="548" spans="11:14" ht="15.75" customHeight="1" x14ac:dyDescent="0.3">
      <c r="K548" s="6"/>
      <c r="L548" s="6"/>
      <c r="M548" s="6"/>
      <c r="N548" s="6"/>
    </row>
    <row r="549" spans="11:14" ht="15.75" customHeight="1" x14ac:dyDescent="0.3">
      <c r="K549" s="6"/>
      <c r="L549" s="6"/>
      <c r="M549" s="6"/>
      <c r="N549" s="6"/>
    </row>
    <row r="550" spans="11:14" ht="15.75" customHeight="1" x14ac:dyDescent="0.3">
      <c r="K550" s="6"/>
      <c r="L550" s="6"/>
      <c r="M550" s="6"/>
      <c r="N550" s="6"/>
    </row>
    <row r="551" spans="11:14" ht="15.75" customHeight="1" x14ac:dyDescent="0.3">
      <c r="K551" s="6"/>
      <c r="L551" s="6"/>
      <c r="M551" s="6"/>
      <c r="N551" s="6"/>
    </row>
    <row r="552" spans="11:14" ht="15.75" customHeight="1" x14ac:dyDescent="0.3">
      <c r="K552" s="6"/>
      <c r="L552" s="6"/>
      <c r="M552" s="6"/>
      <c r="N552" s="6"/>
    </row>
    <row r="553" spans="11:14" ht="15.75" customHeight="1" x14ac:dyDescent="0.3">
      <c r="K553" s="6"/>
      <c r="L553" s="6"/>
      <c r="M553" s="6"/>
      <c r="N553" s="6"/>
    </row>
    <row r="554" spans="11:14" ht="15.75" customHeight="1" x14ac:dyDescent="0.3">
      <c r="K554" s="6"/>
      <c r="L554" s="6"/>
      <c r="M554" s="6"/>
      <c r="N554" s="6"/>
    </row>
    <row r="555" spans="11:14" ht="15.75" customHeight="1" x14ac:dyDescent="0.3">
      <c r="K555" s="6"/>
      <c r="L555" s="6"/>
      <c r="M555" s="6"/>
      <c r="N555" s="6"/>
    </row>
    <row r="556" spans="11:14" ht="15.75" customHeight="1" x14ac:dyDescent="0.3">
      <c r="K556" s="6"/>
      <c r="L556" s="6"/>
      <c r="M556" s="6"/>
      <c r="N556" s="6"/>
    </row>
    <row r="557" spans="11:14" ht="15.75" customHeight="1" x14ac:dyDescent="0.3">
      <c r="K557" s="6"/>
      <c r="L557" s="6"/>
      <c r="M557" s="6"/>
      <c r="N557" s="6"/>
    </row>
    <row r="558" spans="11:14" ht="15.75" customHeight="1" x14ac:dyDescent="0.3">
      <c r="K558" s="6"/>
      <c r="L558" s="6"/>
      <c r="M558" s="6"/>
      <c r="N558" s="6"/>
    </row>
    <row r="559" spans="11:14" ht="15.75" customHeight="1" x14ac:dyDescent="0.3">
      <c r="K559" s="6"/>
      <c r="L559" s="6"/>
      <c r="M559" s="6"/>
      <c r="N559" s="6"/>
    </row>
    <row r="560" spans="11:14" ht="15.75" customHeight="1" x14ac:dyDescent="0.3">
      <c r="K560" s="6"/>
      <c r="L560" s="6"/>
      <c r="M560" s="6"/>
      <c r="N560" s="6"/>
    </row>
    <row r="561" spans="11:14" ht="15.75" customHeight="1" x14ac:dyDescent="0.3">
      <c r="K561" s="6"/>
      <c r="L561" s="6"/>
      <c r="M561" s="6"/>
      <c r="N561" s="6"/>
    </row>
    <row r="562" spans="11:14" ht="15.75" customHeight="1" x14ac:dyDescent="0.3">
      <c r="K562" s="6"/>
      <c r="L562" s="6"/>
      <c r="M562" s="6"/>
      <c r="N562" s="6"/>
    </row>
    <row r="563" spans="11:14" ht="15.75" customHeight="1" x14ac:dyDescent="0.3">
      <c r="K563" s="6"/>
      <c r="L563" s="6"/>
      <c r="M563" s="6"/>
      <c r="N563" s="6"/>
    </row>
    <row r="564" spans="11:14" ht="15.75" customHeight="1" x14ac:dyDescent="0.3">
      <c r="K564" s="6"/>
      <c r="L564" s="6"/>
      <c r="M564" s="6"/>
      <c r="N564" s="6"/>
    </row>
    <row r="565" spans="11:14" ht="15.75" customHeight="1" x14ac:dyDescent="0.3">
      <c r="K565" s="6"/>
      <c r="L565" s="6"/>
      <c r="M565" s="6"/>
      <c r="N565" s="6"/>
    </row>
    <row r="566" spans="11:14" ht="15.75" customHeight="1" x14ac:dyDescent="0.3">
      <c r="K566" s="6"/>
      <c r="L566" s="6"/>
      <c r="M566" s="6"/>
      <c r="N566" s="6"/>
    </row>
    <row r="567" spans="11:14" ht="15.75" customHeight="1" x14ac:dyDescent="0.3">
      <c r="K567" s="6"/>
      <c r="L567" s="6"/>
      <c r="M567" s="6"/>
      <c r="N567" s="6"/>
    </row>
    <row r="568" spans="11:14" ht="15.75" customHeight="1" x14ac:dyDescent="0.3">
      <c r="K568" s="6"/>
      <c r="L568" s="6"/>
      <c r="M568" s="6"/>
      <c r="N568" s="6"/>
    </row>
    <row r="569" spans="11:14" ht="15.75" customHeight="1" x14ac:dyDescent="0.3">
      <c r="K569" s="6"/>
      <c r="L569" s="6"/>
      <c r="M569" s="6"/>
      <c r="N569" s="6"/>
    </row>
    <row r="570" spans="11:14" ht="15.75" customHeight="1" x14ac:dyDescent="0.3">
      <c r="K570" s="6"/>
      <c r="L570" s="6"/>
      <c r="M570" s="6"/>
      <c r="N570" s="6"/>
    </row>
    <row r="571" spans="11:14" ht="15.75" customHeight="1" x14ac:dyDescent="0.3">
      <c r="K571" s="6"/>
      <c r="L571" s="6"/>
      <c r="M571" s="6"/>
      <c r="N571" s="6"/>
    </row>
    <row r="572" spans="11:14" ht="15.75" customHeight="1" x14ac:dyDescent="0.3">
      <c r="K572" s="6"/>
      <c r="L572" s="6"/>
      <c r="M572" s="6"/>
      <c r="N572" s="6"/>
    </row>
    <row r="573" spans="11:14" ht="15.75" customHeight="1" x14ac:dyDescent="0.3">
      <c r="K573" s="6"/>
      <c r="L573" s="6"/>
      <c r="M573" s="6"/>
      <c r="N573" s="6"/>
    </row>
    <row r="574" spans="11:14" ht="15.75" customHeight="1" x14ac:dyDescent="0.3">
      <c r="K574" s="6"/>
      <c r="L574" s="6"/>
      <c r="M574" s="6"/>
      <c r="N574" s="6"/>
    </row>
    <row r="575" spans="11:14" ht="15.75" customHeight="1" x14ac:dyDescent="0.3">
      <c r="K575" s="6"/>
      <c r="L575" s="6"/>
      <c r="M575" s="6"/>
      <c r="N575" s="6"/>
    </row>
    <row r="576" spans="11:14" ht="15.75" customHeight="1" x14ac:dyDescent="0.3">
      <c r="K576" s="6"/>
      <c r="L576" s="6"/>
      <c r="M576" s="6"/>
      <c r="N576" s="6"/>
    </row>
    <row r="577" spans="11:14" ht="15.75" customHeight="1" x14ac:dyDescent="0.3">
      <c r="K577" s="6"/>
      <c r="L577" s="6"/>
      <c r="M577" s="6"/>
      <c r="N577" s="6"/>
    </row>
    <row r="578" spans="11:14" ht="15.75" customHeight="1" x14ac:dyDescent="0.3">
      <c r="K578" s="6"/>
      <c r="L578" s="6"/>
      <c r="M578" s="6"/>
      <c r="N578" s="6"/>
    </row>
    <row r="579" spans="11:14" ht="15.75" customHeight="1" x14ac:dyDescent="0.3">
      <c r="K579" s="6"/>
      <c r="L579" s="6"/>
      <c r="M579" s="6"/>
      <c r="N579" s="6"/>
    </row>
    <row r="580" spans="11:14" ht="15.75" customHeight="1" x14ac:dyDescent="0.3">
      <c r="K580" s="6"/>
      <c r="L580" s="6"/>
      <c r="M580" s="6"/>
      <c r="N580" s="6"/>
    </row>
    <row r="581" spans="11:14" ht="15.75" customHeight="1" x14ac:dyDescent="0.3">
      <c r="K581" s="6"/>
      <c r="L581" s="6"/>
      <c r="M581" s="6"/>
      <c r="N581" s="6"/>
    </row>
    <row r="582" spans="11:14" ht="15.75" customHeight="1" x14ac:dyDescent="0.3">
      <c r="K582" s="6"/>
      <c r="L582" s="6"/>
      <c r="M582" s="6"/>
      <c r="N582" s="6"/>
    </row>
    <row r="583" spans="11:14" ht="15.75" customHeight="1" x14ac:dyDescent="0.3">
      <c r="K583" s="6"/>
      <c r="L583" s="6"/>
      <c r="M583" s="6"/>
      <c r="N583" s="6"/>
    </row>
    <row r="584" spans="11:14" ht="15.75" customHeight="1" x14ac:dyDescent="0.3">
      <c r="K584" s="6"/>
      <c r="L584" s="6"/>
      <c r="M584" s="6"/>
      <c r="N584" s="6"/>
    </row>
    <row r="585" spans="11:14" ht="15.75" customHeight="1" x14ac:dyDescent="0.3">
      <c r="K585" s="6"/>
      <c r="L585" s="6"/>
      <c r="M585" s="6"/>
      <c r="N585" s="6"/>
    </row>
    <row r="586" spans="11:14" ht="15.75" customHeight="1" x14ac:dyDescent="0.3">
      <c r="K586" s="6"/>
      <c r="L586" s="6"/>
      <c r="M586" s="6"/>
      <c r="N586" s="6"/>
    </row>
    <row r="587" spans="11:14" ht="15.75" customHeight="1" x14ac:dyDescent="0.3">
      <c r="K587" s="6"/>
      <c r="L587" s="6"/>
      <c r="M587" s="6"/>
      <c r="N587" s="6"/>
    </row>
    <row r="588" spans="11:14" ht="15.75" customHeight="1" x14ac:dyDescent="0.3">
      <c r="K588" s="6"/>
      <c r="L588" s="6"/>
      <c r="M588" s="6"/>
      <c r="N588" s="6"/>
    </row>
    <row r="589" spans="11:14" ht="15.75" customHeight="1" x14ac:dyDescent="0.3">
      <c r="K589" s="6"/>
      <c r="L589" s="6"/>
      <c r="M589" s="6"/>
      <c r="N589" s="6"/>
    </row>
    <row r="590" spans="11:14" ht="15.75" customHeight="1" x14ac:dyDescent="0.3">
      <c r="K590" s="6"/>
      <c r="L590" s="6"/>
      <c r="M590" s="6"/>
      <c r="N590" s="6"/>
    </row>
    <row r="591" spans="11:14" ht="15.75" customHeight="1" x14ac:dyDescent="0.3">
      <c r="K591" s="6"/>
      <c r="L591" s="6"/>
      <c r="M591" s="6"/>
      <c r="N591" s="6"/>
    </row>
    <row r="592" spans="11:14" ht="15.75" customHeight="1" x14ac:dyDescent="0.3">
      <c r="K592" s="6"/>
      <c r="L592" s="6"/>
      <c r="M592" s="6"/>
      <c r="N592" s="6"/>
    </row>
    <row r="593" spans="11:14" ht="15.75" customHeight="1" x14ac:dyDescent="0.3">
      <c r="K593" s="6"/>
      <c r="L593" s="6"/>
      <c r="M593" s="6"/>
      <c r="N593" s="6"/>
    </row>
    <row r="594" spans="11:14" ht="15.75" customHeight="1" x14ac:dyDescent="0.3">
      <c r="K594" s="6"/>
      <c r="L594" s="6"/>
      <c r="M594" s="6"/>
      <c r="N594" s="6"/>
    </row>
    <row r="595" spans="11:14" ht="15.75" customHeight="1" x14ac:dyDescent="0.3">
      <c r="K595" s="6"/>
      <c r="L595" s="6"/>
      <c r="M595" s="6"/>
      <c r="N595" s="6"/>
    </row>
    <row r="596" spans="11:14" ht="15.75" customHeight="1" x14ac:dyDescent="0.3">
      <c r="K596" s="6"/>
      <c r="L596" s="6"/>
      <c r="M596" s="6"/>
      <c r="N596" s="6"/>
    </row>
    <row r="597" spans="11:14" ht="15.75" customHeight="1" x14ac:dyDescent="0.3">
      <c r="K597" s="6"/>
      <c r="L597" s="6"/>
      <c r="M597" s="6"/>
      <c r="N597" s="6"/>
    </row>
    <row r="598" spans="11:14" ht="15.75" customHeight="1" x14ac:dyDescent="0.3">
      <c r="K598" s="6"/>
      <c r="L598" s="6"/>
      <c r="M598" s="6"/>
      <c r="N598" s="6"/>
    </row>
    <row r="599" spans="11:14" ht="15.75" customHeight="1" x14ac:dyDescent="0.3">
      <c r="K599" s="6"/>
      <c r="L599" s="6"/>
      <c r="M599" s="6"/>
      <c r="N599" s="6"/>
    </row>
    <row r="600" spans="11:14" ht="15.75" customHeight="1" x14ac:dyDescent="0.3">
      <c r="K600" s="6"/>
      <c r="L600" s="6"/>
      <c r="M600" s="6"/>
      <c r="N600" s="6"/>
    </row>
    <row r="601" spans="11:14" ht="15.75" customHeight="1" x14ac:dyDescent="0.3">
      <c r="K601" s="6"/>
      <c r="L601" s="6"/>
      <c r="M601" s="6"/>
      <c r="N601" s="6"/>
    </row>
    <row r="602" spans="11:14" ht="15.75" customHeight="1" x14ac:dyDescent="0.3">
      <c r="K602" s="6"/>
      <c r="L602" s="6"/>
      <c r="M602" s="6"/>
      <c r="N602" s="6"/>
    </row>
    <row r="603" spans="11:14" ht="15.75" customHeight="1" x14ac:dyDescent="0.3">
      <c r="K603" s="6"/>
      <c r="L603" s="6"/>
      <c r="M603" s="6"/>
      <c r="N603" s="6"/>
    </row>
    <row r="604" spans="11:14" ht="15.75" customHeight="1" x14ac:dyDescent="0.3">
      <c r="K604" s="6"/>
      <c r="L604" s="6"/>
      <c r="M604" s="6"/>
      <c r="N604" s="6"/>
    </row>
    <row r="605" spans="11:14" ht="15.75" customHeight="1" x14ac:dyDescent="0.3">
      <c r="K605" s="6"/>
      <c r="L605" s="6"/>
      <c r="M605" s="6"/>
      <c r="N605" s="6"/>
    </row>
    <row r="606" spans="11:14" ht="15.75" customHeight="1" x14ac:dyDescent="0.3">
      <c r="K606" s="6"/>
      <c r="L606" s="6"/>
      <c r="M606" s="6"/>
      <c r="N606" s="6"/>
    </row>
    <row r="607" spans="11:14" ht="15.75" customHeight="1" x14ac:dyDescent="0.3">
      <c r="K607" s="6"/>
      <c r="L607" s="6"/>
      <c r="M607" s="6"/>
      <c r="N607" s="6"/>
    </row>
    <row r="608" spans="11:14" ht="15.75" customHeight="1" x14ac:dyDescent="0.3">
      <c r="K608" s="6"/>
      <c r="L608" s="6"/>
      <c r="M608" s="6"/>
      <c r="N608" s="6"/>
    </row>
    <row r="609" spans="11:14" ht="15.75" customHeight="1" x14ac:dyDescent="0.3">
      <c r="K609" s="6"/>
      <c r="L609" s="6"/>
      <c r="M609" s="6"/>
      <c r="N609" s="6"/>
    </row>
    <row r="610" spans="11:14" ht="15.75" customHeight="1" x14ac:dyDescent="0.3">
      <c r="K610" s="6"/>
      <c r="L610" s="6"/>
      <c r="M610" s="6"/>
      <c r="N610" s="6"/>
    </row>
    <row r="611" spans="11:14" ht="15.75" customHeight="1" x14ac:dyDescent="0.3">
      <c r="K611" s="6"/>
      <c r="L611" s="6"/>
      <c r="M611" s="6"/>
      <c r="N611" s="6"/>
    </row>
    <row r="612" spans="11:14" ht="15.75" customHeight="1" x14ac:dyDescent="0.3">
      <c r="K612" s="6"/>
      <c r="L612" s="6"/>
      <c r="M612" s="6"/>
      <c r="N612" s="6"/>
    </row>
    <row r="613" spans="11:14" ht="15.75" customHeight="1" x14ac:dyDescent="0.3">
      <c r="K613" s="6"/>
      <c r="L613" s="6"/>
      <c r="M613" s="6"/>
      <c r="N613" s="6"/>
    </row>
    <row r="614" spans="11:14" ht="15.75" customHeight="1" x14ac:dyDescent="0.3">
      <c r="K614" s="6"/>
      <c r="L614" s="6"/>
      <c r="M614" s="6"/>
      <c r="N614" s="6"/>
    </row>
    <row r="615" spans="11:14" ht="15.75" customHeight="1" x14ac:dyDescent="0.3">
      <c r="K615" s="6"/>
      <c r="L615" s="6"/>
      <c r="M615" s="6"/>
      <c r="N615" s="6"/>
    </row>
    <row r="616" spans="11:14" ht="15.75" customHeight="1" x14ac:dyDescent="0.3">
      <c r="K616" s="6"/>
      <c r="L616" s="6"/>
      <c r="M616" s="6"/>
      <c r="N616" s="6"/>
    </row>
    <row r="617" spans="11:14" ht="15.75" customHeight="1" x14ac:dyDescent="0.3">
      <c r="K617" s="6"/>
      <c r="L617" s="6"/>
      <c r="M617" s="6"/>
      <c r="N617" s="6"/>
    </row>
    <row r="618" spans="11:14" ht="15.75" customHeight="1" x14ac:dyDescent="0.3">
      <c r="K618" s="6"/>
      <c r="L618" s="6"/>
      <c r="M618" s="6"/>
      <c r="N618" s="6"/>
    </row>
    <row r="619" spans="11:14" ht="15.75" customHeight="1" x14ac:dyDescent="0.3">
      <c r="K619" s="6"/>
      <c r="L619" s="6"/>
      <c r="M619" s="6"/>
      <c r="N619" s="6"/>
    </row>
    <row r="620" spans="11:14" ht="15.75" customHeight="1" x14ac:dyDescent="0.3">
      <c r="K620" s="6"/>
      <c r="L620" s="6"/>
      <c r="M620" s="6"/>
      <c r="N620" s="6"/>
    </row>
    <row r="621" spans="11:14" ht="15.75" customHeight="1" x14ac:dyDescent="0.3">
      <c r="K621" s="6"/>
      <c r="L621" s="6"/>
      <c r="M621" s="6"/>
      <c r="N621" s="6"/>
    </row>
    <row r="622" spans="11:14" ht="15.75" customHeight="1" x14ac:dyDescent="0.3">
      <c r="K622" s="6"/>
      <c r="L622" s="6"/>
      <c r="M622" s="6"/>
      <c r="N622" s="6"/>
    </row>
    <row r="623" spans="11:14" ht="15.75" customHeight="1" x14ac:dyDescent="0.3">
      <c r="K623" s="6"/>
      <c r="L623" s="6"/>
      <c r="M623" s="6"/>
      <c r="N623" s="6"/>
    </row>
    <row r="624" spans="11:14" ht="15.75" customHeight="1" x14ac:dyDescent="0.3">
      <c r="K624" s="6"/>
      <c r="L624" s="6"/>
      <c r="M624" s="6"/>
      <c r="N624" s="6"/>
    </row>
    <row r="625" spans="11:14" ht="15.75" customHeight="1" x14ac:dyDescent="0.3">
      <c r="K625" s="6"/>
      <c r="L625" s="6"/>
      <c r="M625" s="6"/>
      <c r="N625" s="6"/>
    </row>
    <row r="626" spans="11:14" ht="15.75" customHeight="1" x14ac:dyDescent="0.3">
      <c r="K626" s="6"/>
      <c r="L626" s="6"/>
      <c r="M626" s="6"/>
      <c r="N626" s="6"/>
    </row>
    <row r="627" spans="11:14" ht="15.75" customHeight="1" x14ac:dyDescent="0.3">
      <c r="K627" s="6"/>
      <c r="L627" s="6"/>
      <c r="M627" s="6"/>
      <c r="N627" s="6"/>
    </row>
    <row r="628" spans="11:14" ht="15.75" customHeight="1" x14ac:dyDescent="0.3">
      <c r="K628" s="6"/>
      <c r="L628" s="6"/>
      <c r="M628" s="6"/>
      <c r="N628" s="6"/>
    </row>
    <row r="629" spans="11:14" ht="15.75" customHeight="1" x14ac:dyDescent="0.3">
      <c r="K629" s="6"/>
      <c r="L629" s="6"/>
      <c r="M629" s="6"/>
      <c r="N629" s="6"/>
    </row>
    <row r="630" spans="11:14" ht="15.75" customHeight="1" x14ac:dyDescent="0.3">
      <c r="K630" s="6"/>
      <c r="L630" s="6"/>
      <c r="M630" s="6"/>
      <c r="N630" s="6"/>
    </row>
    <row r="631" spans="11:14" ht="15.75" customHeight="1" x14ac:dyDescent="0.3">
      <c r="K631" s="6"/>
      <c r="L631" s="6"/>
      <c r="M631" s="6"/>
      <c r="N631" s="6"/>
    </row>
    <row r="632" spans="11:14" ht="15.75" customHeight="1" x14ac:dyDescent="0.3">
      <c r="K632" s="6"/>
      <c r="L632" s="6"/>
      <c r="M632" s="6"/>
      <c r="N632" s="6"/>
    </row>
    <row r="633" spans="11:14" ht="15.75" customHeight="1" x14ac:dyDescent="0.3">
      <c r="K633" s="6"/>
      <c r="L633" s="6"/>
      <c r="M633" s="6"/>
      <c r="N633" s="6"/>
    </row>
    <row r="634" spans="11:14" ht="15.75" customHeight="1" x14ac:dyDescent="0.3">
      <c r="K634" s="6"/>
      <c r="L634" s="6"/>
      <c r="M634" s="6"/>
      <c r="N634" s="6"/>
    </row>
    <row r="635" spans="11:14" ht="15.75" customHeight="1" x14ac:dyDescent="0.3">
      <c r="K635" s="6"/>
      <c r="L635" s="6"/>
      <c r="M635" s="6"/>
      <c r="N635" s="6"/>
    </row>
    <row r="636" spans="11:14" ht="15.75" customHeight="1" x14ac:dyDescent="0.3">
      <c r="K636" s="6"/>
      <c r="L636" s="6"/>
      <c r="M636" s="6"/>
      <c r="N636" s="6"/>
    </row>
    <row r="637" spans="11:14" ht="15.75" customHeight="1" x14ac:dyDescent="0.3">
      <c r="K637" s="6"/>
      <c r="L637" s="6"/>
      <c r="M637" s="6"/>
      <c r="N637" s="6"/>
    </row>
    <row r="638" spans="11:14" ht="15.75" customHeight="1" x14ac:dyDescent="0.3">
      <c r="K638" s="6"/>
      <c r="L638" s="6"/>
      <c r="M638" s="6"/>
      <c r="N638" s="6"/>
    </row>
    <row r="639" spans="11:14" ht="15.75" customHeight="1" x14ac:dyDescent="0.3">
      <c r="K639" s="6"/>
      <c r="L639" s="6"/>
      <c r="M639" s="6"/>
      <c r="N639" s="6"/>
    </row>
    <row r="640" spans="11:14" ht="15.75" customHeight="1" x14ac:dyDescent="0.3">
      <c r="K640" s="6"/>
      <c r="L640" s="6"/>
      <c r="M640" s="6"/>
      <c r="N640" s="6"/>
    </row>
    <row r="641" spans="11:14" ht="15.75" customHeight="1" x14ac:dyDescent="0.3">
      <c r="K641" s="6"/>
      <c r="L641" s="6"/>
      <c r="M641" s="6"/>
      <c r="N641" s="6"/>
    </row>
    <row r="642" spans="11:14" ht="15.75" customHeight="1" x14ac:dyDescent="0.3">
      <c r="K642" s="6"/>
      <c r="L642" s="6"/>
      <c r="M642" s="6"/>
      <c r="N642" s="6"/>
    </row>
    <row r="643" spans="11:14" ht="15.75" customHeight="1" x14ac:dyDescent="0.3">
      <c r="K643" s="6"/>
      <c r="L643" s="6"/>
      <c r="M643" s="6"/>
      <c r="N643" s="6"/>
    </row>
    <row r="644" spans="11:14" ht="15.75" customHeight="1" x14ac:dyDescent="0.3">
      <c r="K644" s="6"/>
      <c r="L644" s="6"/>
      <c r="M644" s="6"/>
      <c r="N644" s="6"/>
    </row>
    <row r="645" spans="11:14" ht="15.75" customHeight="1" x14ac:dyDescent="0.3">
      <c r="K645" s="6"/>
      <c r="L645" s="6"/>
      <c r="M645" s="6"/>
      <c r="N645" s="6"/>
    </row>
    <row r="646" spans="11:14" ht="15.75" customHeight="1" x14ac:dyDescent="0.3">
      <c r="K646" s="6"/>
      <c r="L646" s="6"/>
      <c r="M646" s="6"/>
      <c r="N646" s="6"/>
    </row>
    <row r="647" spans="11:14" ht="15.75" customHeight="1" x14ac:dyDescent="0.3">
      <c r="K647" s="6"/>
      <c r="L647" s="6"/>
      <c r="M647" s="6"/>
      <c r="N647" s="6"/>
    </row>
    <row r="648" spans="11:14" ht="15.75" customHeight="1" x14ac:dyDescent="0.3">
      <c r="K648" s="6"/>
      <c r="L648" s="6"/>
      <c r="M648" s="6"/>
      <c r="N648" s="6"/>
    </row>
    <row r="649" spans="11:14" ht="15.75" customHeight="1" x14ac:dyDescent="0.3">
      <c r="K649" s="6"/>
      <c r="L649" s="6"/>
      <c r="M649" s="6"/>
      <c r="N649" s="6"/>
    </row>
    <row r="650" spans="11:14" ht="15.75" customHeight="1" x14ac:dyDescent="0.3">
      <c r="K650" s="6"/>
      <c r="L650" s="6"/>
      <c r="M650" s="6"/>
      <c r="N650" s="6"/>
    </row>
    <row r="651" spans="11:14" ht="15.75" customHeight="1" x14ac:dyDescent="0.3">
      <c r="K651" s="6"/>
      <c r="L651" s="6"/>
      <c r="M651" s="6"/>
      <c r="N651" s="6"/>
    </row>
    <row r="652" spans="11:14" ht="15.75" customHeight="1" x14ac:dyDescent="0.3">
      <c r="K652" s="6"/>
      <c r="L652" s="6"/>
      <c r="M652" s="6"/>
      <c r="N652" s="6"/>
    </row>
    <row r="653" spans="11:14" ht="15.75" customHeight="1" x14ac:dyDescent="0.3">
      <c r="K653" s="6"/>
      <c r="L653" s="6"/>
      <c r="M653" s="6"/>
      <c r="N653" s="6"/>
    </row>
    <row r="654" spans="11:14" ht="15.75" customHeight="1" x14ac:dyDescent="0.3">
      <c r="K654" s="6"/>
      <c r="L654" s="6"/>
      <c r="M654" s="6"/>
      <c r="N654" s="6"/>
    </row>
    <row r="655" spans="11:14" ht="15.75" customHeight="1" x14ac:dyDescent="0.3">
      <c r="K655" s="6"/>
      <c r="L655" s="6"/>
      <c r="M655" s="6"/>
      <c r="N655" s="6"/>
    </row>
    <row r="656" spans="11:14" ht="15.75" customHeight="1" x14ac:dyDescent="0.3">
      <c r="K656" s="6"/>
      <c r="L656" s="6"/>
      <c r="M656" s="6"/>
      <c r="N656" s="6"/>
    </row>
    <row r="657" spans="11:14" ht="15.75" customHeight="1" x14ac:dyDescent="0.3">
      <c r="K657" s="6"/>
      <c r="L657" s="6"/>
      <c r="M657" s="6"/>
      <c r="N657" s="6"/>
    </row>
    <row r="658" spans="11:14" ht="15.75" customHeight="1" x14ac:dyDescent="0.3">
      <c r="K658" s="6"/>
      <c r="L658" s="6"/>
      <c r="M658" s="6"/>
      <c r="N658" s="6"/>
    </row>
    <row r="659" spans="11:14" ht="15.75" customHeight="1" x14ac:dyDescent="0.3">
      <c r="K659" s="6"/>
      <c r="L659" s="6"/>
      <c r="M659" s="6"/>
      <c r="N659" s="6"/>
    </row>
    <row r="660" spans="11:14" ht="15.75" customHeight="1" x14ac:dyDescent="0.3">
      <c r="K660" s="6"/>
      <c r="L660" s="6"/>
      <c r="M660" s="6"/>
      <c r="N660" s="6"/>
    </row>
    <row r="661" spans="11:14" ht="15.75" customHeight="1" x14ac:dyDescent="0.3">
      <c r="K661" s="6"/>
      <c r="L661" s="6"/>
      <c r="M661" s="6"/>
      <c r="N661" s="6"/>
    </row>
    <row r="662" spans="11:14" ht="15.75" customHeight="1" x14ac:dyDescent="0.3">
      <c r="K662" s="6"/>
      <c r="L662" s="6"/>
      <c r="M662" s="6"/>
      <c r="N662" s="6"/>
    </row>
    <row r="663" spans="11:14" ht="15.75" customHeight="1" x14ac:dyDescent="0.3">
      <c r="K663" s="6"/>
      <c r="L663" s="6"/>
      <c r="M663" s="6"/>
      <c r="N663" s="6"/>
    </row>
    <row r="664" spans="11:14" ht="15.75" customHeight="1" x14ac:dyDescent="0.3">
      <c r="K664" s="6"/>
      <c r="L664" s="6"/>
      <c r="M664" s="6"/>
      <c r="N664" s="6"/>
    </row>
    <row r="665" spans="11:14" ht="15.75" customHeight="1" x14ac:dyDescent="0.3">
      <c r="K665" s="6"/>
      <c r="L665" s="6"/>
      <c r="M665" s="6"/>
      <c r="N665" s="6"/>
    </row>
    <row r="666" spans="11:14" ht="15.75" customHeight="1" x14ac:dyDescent="0.3">
      <c r="K666" s="6"/>
      <c r="L666" s="6"/>
      <c r="M666" s="6"/>
      <c r="N666" s="6"/>
    </row>
    <row r="667" spans="11:14" ht="15.75" customHeight="1" x14ac:dyDescent="0.3">
      <c r="K667" s="6"/>
      <c r="L667" s="6"/>
      <c r="M667" s="6"/>
      <c r="N667" s="6"/>
    </row>
    <row r="668" spans="11:14" ht="15.75" customHeight="1" x14ac:dyDescent="0.3">
      <c r="K668" s="6"/>
      <c r="L668" s="6"/>
      <c r="M668" s="6"/>
      <c r="N668" s="6"/>
    </row>
    <row r="669" spans="11:14" ht="15.75" customHeight="1" x14ac:dyDescent="0.3">
      <c r="K669" s="6"/>
      <c r="L669" s="6"/>
      <c r="M669" s="6"/>
      <c r="N669" s="6"/>
    </row>
    <row r="670" spans="11:14" ht="15.75" customHeight="1" x14ac:dyDescent="0.3">
      <c r="K670" s="6"/>
      <c r="L670" s="6"/>
      <c r="M670" s="6"/>
      <c r="N670" s="6"/>
    </row>
    <row r="671" spans="11:14" ht="15.75" customHeight="1" x14ac:dyDescent="0.3">
      <c r="K671" s="6"/>
      <c r="L671" s="6"/>
      <c r="M671" s="6"/>
      <c r="N671" s="6"/>
    </row>
    <row r="672" spans="11:14" ht="15.75" customHeight="1" x14ac:dyDescent="0.3">
      <c r="K672" s="6"/>
      <c r="L672" s="6"/>
      <c r="M672" s="6"/>
      <c r="N672" s="6"/>
    </row>
    <row r="673" spans="11:14" ht="15.75" customHeight="1" x14ac:dyDescent="0.3">
      <c r="K673" s="6"/>
      <c r="L673" s="6"/>
      <c r="M673" s="6"/>
      <c r="N673" s="6"/>
    </row>
    <row r="674" spans="11:14" ht="15.75" customHeight="1" x14ac:dyDescent="0.3">
      <c r="K674" s="6"/>
      <c r="L674" s="6"/>
      <c r="M674" s="6"/>
      <c r="N674" s="6"/>
    </row>
    <row r="675" spans="11:14" ht="15.75" customHeight="1" x14ac:dyDescent="0.3">
      <c r="K675" s="6"/>
      <c r="L675" s="6"/>
      <c r="M675" s="6"/>
      <c r="N675" s="6"/>
    </row>
    <row r="676" spans="11:14" ht="15.75" customHeight="1" x14ac:dyDescent="0.3">
      <c r="K676" s="6"/>
      <c r="L676" s="6"/>
      <c r="M676" s="6"/>
      <c r="N676" s="6"/>
    </row>
    <row r="677" spans="11:14" ht="15.75" customHeight="1" x14ac:dyDescent="0.3">
      <c r="K677" s="6"/>
      <c r="L677" s="6"/>
      <c r="M677" s="6"/>
      <c r="N677" s="6"/>
    </row>
    <row r="678" spans="11:14" ht="15.75" customHeight="1" x14ac:dyDescent="0.3">
      <c r="K678" s="6"/>
      <c r="L678" s="6"/>
      <c r="M678" s="6"/>
      <c r="N678" s="6"/>
    </row>
    <row r="679" spans="11:14" ht="15.75" customHeight="1" x14ac:dyDescent="0.3">
      <c r="K679" s="6"/>
      <c r="L679" s="6"/>
      <c r="M679" s="6"/>
      <c r="N679" s="6"/>
    </row>
    <row r="680" spans="11:14" ht="15.75" customHeight="1" x14ac:dyDescent="0.3">
      <c r="K680" s="6"/>
      <c r="L680" s="6"/>
      <c r="M680" s="6"/>
      <c r="N680" s="6"/>
    </row>
    <row r="681" spans="11:14" ht="15.75" customHeight="1" x14ac:dyDescent="0.3">
      <c r="K681" s="6"/>
      <c r="L681" s="6"/>
      <c r="M681" s="6"/>
      <c r="N681" s="6"/>
    </row>
    <row r="682" spans="11:14" ht="15.75" customHeight="1" x14ac:dyDescent="0.3">
      <c r="K682" s="6"/>
      <c r="L682" s="6"/>
      <c r="M682" s="6"/>
      <c r="N682" s="6"/>
    </row>
    <row r="683" spans="11:14" ht="15.75" customHeight="1" x14ac:dyDescent="0.3">
      <c r="K683" s="6"/>
      <c r="L683" s="6"/>
      <c r="M683" s="6"/>
      <c r="N683" s="6"/>
    </row>
    <row r="684" spans="11:14" ht="15.75" customHeight="1" x14ac:dyDescent="0.3">
      <c r="K684" s="6"/>
      <c r="L684" s="6"/>
      <c r="M684" s="6"/>
      <c r="N684" s="6"/>
    </row>
    <row r="685" spans="11:14" ht="15.75" customHeight="1" x14ac:dyDescent="0.3">
      <c r="K685" s="6"/>
      <c r="L685" s="6"/>
      <c r="M685" s="6"/>
      <c r="N685" s="6"/>
    </row>
    <row r="686" spans="11:14" ht="15.75" customHeight="1" x14ac:dyDescent="0.3">
      <c r="K686" s="6"/>
      <c r="L686" s="6"/>
      <c r="M686" s="6"/>
      <c r="N686" s="6"/>
    </row>
    <row r="687" spans="11:14" ht="15.75" customHeight="1" x14ac:dyDescent="0.3">
      <c r="K687" s="6"/>
      <c r="L687" s="6"/>
      <c r="M687" s="6"/>
      <c r="N687" s="6"/>
    </row>
    <row r="688" spans="11:14" ht="15.75" customHeight="1" x14ac:dyDescent="0.3">
      <c r="K688" s="6"/>
      <c r="L688" s="6"/>
      <c r="M688" s="6"/>
      <c r="N688" s="6"/>
    </row>
    <row r="689" spans="11:14" ht="15.75" customHeight="1" x14ac:dyDescent="0.3">
      <c r="K689" s="6"/>
      <c r="L689" s="6"/>
      <c r="M689" s="6"/>
      <c r="N689" s="6"/>
    </row>
    <row r="690" spans="11:14" ht="15.75" customHeight="1" x14ac:dyDescent="0.3">
      <c r="K690" s="6"/>
      <c r="L690" s="6"/>
      <c r="M690" s="6"/>
      <c r="N690" s="6"/>
    </row>
    <row r="691" spans="11:14" ht="15.75" customHeight="1" x14ac:dyDescent="0.3">
      <c r="K691" s="6"/>
      <c r="L691" s="6"/>
      <c r="M691" s="6"/>
      <c r="N691" s="6"/>
    </row>
    <row r="692" spans="11:14" ht="15.75" customHeight="1" x14ac:dyDescent="0.3">
      <c r="K692" s="6"/>
      <c r="L692" s="6"/>
      <c r="M692" s="6"/>
      <c r="N692" s="6"/>
    </row>
    <row r="693" spans="11:14" ht="15.75" customHeight="1" x14ac:dyDescent="0.3">
      <c r="K693" s="6"/>
      <c r="L693" s="6"/>
      <c r="M693" s="6"/>
      <c r="N693" s="6"/>
    </row>
    <row r="694" spans="11:14" ht="15.75" customHeight="1" x14ac:dyDescent="0.3">
      <c r="K694" s="6"/>
      <c r="L694" s="6"/>
      <c r="M694" s="6"/>
      <c r="N694" s="6"/>
    </row>
    <row r="695" spans="11:14" ht="15.75" customHeight="1" x14ac:dyDescent="0.3">
      <c r="K695" s="6"/>
      <c r="L695" s="6"/>
      <c r="M695" s="6"/>
      <c r="N695" s="6"/>
    </row>
    <row r="696" spans="11:14" ht="15.75" customHeight="1" x14ac:dyDescent="0.3">
      <c r="K696" s="6"/>
      <c r="L696" s="6"/>
      <c r="M696" s="6"/>
      <c r="N696" s="6"/>
    </row>
    <row r="697" spans="11:14" ht="15.75" customHeight="1" x14ac:dyDescent="0.3">
      <c r="K697" s="6"/>
      <c r="L697" s="6"/>
      <c r="M697" s="6"/>
      <c r="N697" s="6"/>
    </row>
    <row r="698" spans="11:14" ht="15.75" customHeight="1" x14ac:dyDescent="0.3">
      <c r="K698" s="6"/>
      <c r="L698" s="6"/>
      <c r="M698" s="6"/>
      <c r="N698" s="6"/>
    </row>
    <row r="699" spans="11:14" ht="15.75" customHeight="1" x14ac:dyDescent="0.3">
      <c r="K699" s="6"/>
      <c r="L699" s="6"/>
      <c r="M699" s="6"/>
      <c r="N699" s="6"/>
    </row>
    <row r="700" spans="11:14" ht="15.75" customHeight="1" x14ac:dyDescent="0.3">
      <c r="K700" s="6"/>
      <c r="L700" s="6"/>
      <c r="M700" s="6"/>
      <c r="N700" s="6"/>
    </row>
    <row r="701" spans="11:14" ht="15.75" customHeight="1" x14ac:dyDescent="0.3">
      <c r="K701" s="6"/>
      <c r="L701" s="6"/>
      <c r="M701" s="6"/>
      <c r="N701" s="6"/>
    </row>
    <row r="702" spans="11:14" ht="15.75" customHeight="1" x14ac:dyDescent="0.3">
      <c r="K702" s="6"/>
      <c r="L702" s="6"/>
      <c r="M702" s="6"/>
      <c r="N702" s="6"/>
    </row>
    <row r="703" spans="11:14" ht="15.75" customHeight="1" x14ac:dyDescent="0.3">
      <c r="K703" s="6"/>
      <c r="L703" s="6"/>
      <c r="M703" s="6"/>
      <c r="N703" s="6"/>
    </row>
    <row r="704" spans="11:14" ht="15.75" customHeight="1" x14ac:dyDescent="0.3">
      <c r="K704" s="6"/>
      <c r="L704" s="6"/>
      <c r="M704" s="6"/>
      <c r="N704" s="6"/>
    </row>
    <row r="705" spans="11:14" ht="15.75" customHeight="1" x14ac:dyDescent="0.3">
      <c r="K705" s="6"/>
      <c r="L705" s="6"/>
      <c r="M705" s="6"/>
      <c r="N705" s="6"/>
    </row>
    <row r="706" spans="11:14" ht="15.75" customHeight="1" x14ac:dyDescent="0.3">
      <c r="K706" s="6"/>
      <c r="L706" s="6"/>
      <c r="M706" s="6"/>
      <c r="N706" s="6"/>
    </row>
    <row r="707" spans="11:14" ht="15.75" customHeight="1" x14ac:dyDescent="0.3">
      <c r="K707" s="6"/>
      <c r="L707" s="6"/>
      <c r="M707" s="6"/>
      <c r="N707" s="6"/>
    </row>
    <row r="708" spans="11:14" ht="15.75" customHeight="1" x14ac:dyDescent="0.3">
      <c r="K708" s="6"/>
      <c r="L708" s="6"/>
      <c r="M708" s="6"/>
      <c r="N708" s="6"/>
    </row>
    <row r="709" spans="11:14" ht="15.75" customHeight="1" x14ac:dyDescent="0.3">
      <c r="K709" s="6"/>
      <c r="L709" s="6"/>
      <c r="M709" s="6"/>
      <c r="N709" s="6"/>
    </row>
    <row r="710" spans="11:14" ht="15.75" customHeight="1" x14ac:dyDescent="0.3">
      <c r="K710" s="6"/>
      <c r="L710" s="6"/>
      <c r="M710" s="6"/>
      <c r="N710" s="6"/>
    </row>
    <row r="711" spans="11:14" ht="15.75" customHeight="1" x14ac:dyDescent="0.3">
      <c r="K711" s="6"/>
      <c r="L711" s="6"/>
      <c r="M711" s="6"/>
      <c r="N711" s="6"/>
    </row>
    <row r="712" spans="11:14" ht="15.75" customHeight="1" x14ac:dyDescent="0.3">
      <c r="K712" s="6"/>
      <c r="L712" s="6"/>
      <c r="M712" s="6"/>
      <c r="N712" s="6"/>
    </row>
    <row r="713" spans="11:14" ht="15.75" customHeight="1" x14ac:dyDescent="0.3">
      <c r="K713" s="6"/>
      <c r="L713" s="6"/>
      <c r="M713" s="6"/>
      <c r="N713" s="6"/>
    </row>
    <row r="714" spans="11:14" ht="15.75" customHeight="1" x14ac:dyDescent="0.3">
      <c r="K714" s="6"/>
      <c r="L714" s="6"/>
      <c r="M714" s="6"/>
      <c r="N714" s="6"/>
    </row>
    <row r="715" spans="11:14" ht="15.75" customHeight="1" x14ac:dyDescent="0.3">
      <c r="K715" s="6"/>
      <c r="L715" s="6"/>
      <c r="M715" s="6"/>
      <c r="N715" s="6"/>
    </row>
    <row r="716" spans="11:14" ht="15.75" customHeight="1" x14ac:dyDescent="0.3">
      <c r="K716" s="6"/>
      <c r="L716" s="6"/>
      <c r="M716" s="6"/>
      <c r="N716" s="6"/>
    </row>
    <row r="717" spans="11:14" ht="15.75" customHeight="1" x14ac:dyDescent="0.3">
      <c r="K717" s="6"/>
      <c r="L717" s="6"/>
      <c r="M717" s="6"/>
      <c r="N717" s="6"/>
    </row>
    <row r="718" spans="11:14" ht="15.75" customHeight="1" x14ac:dyDescent="0.3">
      <c r="K718" s="6"/>
      <c r="L718" s="6"/>
      <c r="M718" s="6"/>
      <c r="N718" s="6"/>
    </row>
    <row r="719" spans="11:14" ht="15.75" customHeight="1" x14ac:dyDescent="0.3">
      <c r="K719" s="6"/>
      <c r="L719" s="6"/>
      <c r="M719" s="6"/>
      <c r="N719" s="6"/>
    </row>
    <row r="720" spans="11:14" ht="15.75" customHeight="1" x14ac:dyDescent="0.3">
      <c r="K720" s="6"/>
      <c r="L720" s="6"/>
      <c r="M720" s="6"/>
      <c r="N720" s="6"/>
    </row>
    <row r="721" spans="11:14" ht="15.75" customHeight="1" x14ac:dyDescent="0.3">
      <c r="K721" s="6"/>
      <c r="L721" s="6"/>
      <c r="M721" s="6"/>
      <c r="N721" s="6"/>
    </row>
    <row r="722" spans="11:14" ht="15.75" customHeight="1" x14ac:dyDescent="0.3">
      <c r="K722" s="6"/>
      <c r="L722" s="6"/>
      <c r="M722" s="6"/>
      <c r="N722" s="6"/>
    </row>
    <row r="723" spans="11:14" ht="15.75" customHeight="1" x14ac:dyDescent="0.3">
      <c r="K723" s="6"/>
      <c r="L723" s="6"/>
      <c r="M723" s="6"/>
      <c r="N723" s="6"/>
    </row>
    <row r="724" spans="11:14" ht="15.75" customHeight="1" x14ac:dyDescent="0.3">
      <c r="K724" s="6"/>
      <c r="L724" s="6"/>
      <c r="M724" s="6"/>
      <c r="N724" s="6"/>
    </row>
    <row r="725" spans="11:14" ht="15.75" customHeight="1" x14ac:dyDescent="0.3">
      <c r="K725" s="6"/>
      <c r="L725" s="6"/>
      <c r="M725" s="6"/>
      <c r="N725" s="6"/>
    </row>
    <row r="726" spans="11:14" ht="15.75" customHeight="1" x14ac:dyDescent="0.3">
      <c r="K726" s="6"/>
      <c r="L726" s="6"/>
      <c r="M726" s="6"/>
      <c r="N726" s="6"/>
    </row>
    <row r="727" spans="11:14" ht="15.75" customHeight="1" x14ac:dyDescent="0.3">
      <c r="K727" s="6"/>
      <c r="L727" s="6"/>
      <c r="M727" s="6"/>
      <c r="N727" s="6"/>
    </row>
    <row r="728" spans="11:14" ht="15.75" customHeight="1" x14ac:dyDescent="0.3">
      <c r="K728" s="6"/>
      <c r="L728" s="6"/>
      <c r="M728" s="6"/>
      <c r="N728" s="6"/>
    </row>
    <row r="729" spans="11:14" ht="15.75" customHeight="1" x14ac:dyDescent="0.3">
      <c r="K729" s="6"/>
      <c r="L729" s="6"/>
      <c r="M729" s="6"/>
      <c r="N729" s="6"/>
    </row>
    <row r="730" spans="11:14" ht="15.75" customHeight="1" x14ac:dyDescent="0.3">
      <c r="K730" s="6"/>
      <c r="L730" s="6"/>
      <c r="M730" s="6"/>
      <c r="N730" s="6"/>
    </row>
    <row r="731" spans="11:14" ht="15.75" customHeight="1" x14ac:dyDescent="0.3">
      <c r="K731" s="6"/>
      <c r="L731" s="6"/>
      <c r="M731" s="6"/>
      <c r="N731" s="6"/>
    </row>
    <row r="732" spans="11:14" ht="15.75" customHeight="1" x14ac:dyDescent="0.3">
      <c r="K732" s="6"/>
      <c r="L732" s="6"/>
      <c r="M732" s="6"/>
      <c r="N732" s="6"/>
    </row>
    <row r="733" spans="11:14" ht="15.75" customHeight="1" x14ac:dyDescent="0.3">
      <c r="K733" s="6"/>
      <c r="L733" s="6"/>
      <c r="M733" s="6"/>
      <c r="N733" s="6"/>
    </row>
    <row r="734" spans="11:14" ht="15.75" customHeight="1" x14ac:dyDescent="0.3">
      <c r="K734" s="6"/>
      <c r="L734" s="6"/>
      <c r="M734" s="6"/>
      <c r="N734" s="6"/>
    </row>
    <row r="735" spans="11:14" ht="15.75" customHeight="1" x14ac:dyDescent="0.3">
      <c r="K735" s="6"/>
      <c r="L735" s="6"/>
      <c r="M735" s="6"/>
      <c r="N735" s="6"/>
    </row>
    <row r="736" spans="11:14" ht="15.75" customHeight="1" x14ac:dyDescent="0.3">
      <c r="K736" s="6"/>
      <c r="L736" s="6"/>
      <c r="M736" s="6"/>
      <c r="N736" s="6"/>
    </row>
    <row r="737" spans="11:14" ht="15.75" customHeight="1" x14ac:dyDescent="0.3">
      <c r="K737" s="6"/>
      <c r="L737" s="6"/>
      <c r="M737" s="6"/>
      <c r="N737" s="6"/>
    </row>
    <row r="738" spans="11:14" ht="15.75" customHeight="1" x14ac:dyDescent="0.3">
      <c r="K738" s="6"/>
      <c r="L738" s="6"/>
      <c r="M738" s="6"/>
      <c r="N738" s="6"/>
    </row>
    <row r="739" spans="11:14" ht="15.75" customHeight="1" x14ac:dyDescent="0.3">
      <c r="K739" s="6"/>
      <c r="L739" s="6"/>
      <c r="M739" s="6"/>
      <c r="N739" s="6"/>
    </row>
    <row r="740" spans="11:14" ht="15.75" customHeight="1" x14ac:dyDescent="0.3">
      <c r="K740" s="6"/>
      <c r="L740" s="6"/>
      <c r="M740" s="6"/>
      <c r="N740" s="6"/>
    </row>
    <row r="741" spans="11:14" ht="15.75" customHeight="1" x14ac:dyDescent="0.3">
      <c r="K741" s="6"/>
      <c r="L741" s="6"/>
      <c r="M741" s="6"/>
      <c r="N741" s="6"/>
    </row>
    <row r="742" spans="11:14" ht="15.75" customHeight="1" x14ac:dyDescent="0.3">
      <c r="K742" s="6"/>
      <c r="L742" s="6"/>
      <c r="M742" s="6"/>
      <c r="N742" s="6"/>
    </row>
    <row r="743" spans="11:14" ht="15.75" customHeight="1" x14ac:dyDescent="0.3">
      <c r="K743" s="6"/>
      <c r="L743" s="6"/>
      <c r="M743" s="6"/>
      <c r="N743" s="6"/>
    </row>
    <row r="744" spans="11:14" ht="15.75" customHeight="1" x14ac:dyDescent="0.3">
      <c r="K744" s="6"/>
      <c r="L744" s="6"/>
      <c r="M744" s="6"/>
      <c r="N744" s="6"/>
    </row>
    <row r="745" spans="11:14" ht="15.75" customHeight="1" x14ac:dyDescent="0.3">
      <c r="K745" s="6"/>
      <c r="L745" s="6"/>
      <c r="M745" s="6"/>
      <c r="N745" s="6"/>
    </row>
    <row r="746" spans="11:14" ht="15.75" customHeight="1" x14ac:dyDescent="0.3">
      <c r="K746" s="6"/>
      <c r="L746" s="6"/>
      <c r="M746" s="6"/>
      <c r="N746" s="6"/>
    </row>
    <row r="747" spans="11:14" ht="15.75" customHeight="1" x14ac:dyDescent="0.3">
      <c r="K747" s="6"/>
      <c r="L747" s="6"/>
      <c r="M747" s="6"/>
      <c r="N747" s="6"/>
    </row>
    <row r="748" spans="11:14" ht="15.75" customHeight="1" x14ac:dyDescent="0.3">
      <c r="K748" s="6"/>
      <c r="L748" s="6"/>
      <c r="M748" s="6"/>
      <c r="N748" s="6"/>
    </row>
    <row r="749" spans="11:14" ht="15.75" customHeight="1" x14ac:dyDescent="0.3">
      <c r="K749" s="6"/>
      <c r="L749" s="6"/>
      <c r="M749" s="6"/>
      <c r="N749" s="6"/>
    </row>
    <row r="750" spans="11:14" ht="15.75" customHeight="1" x14ac:dyDescent="0.3">
      <c r="K750" s="6"/>
      <c r="L750" s="6"/>
      <c r="M750" s="6"/>
      <c r="N750" s="6"/>
    </row>
    <row r="751" spans="11:14" ht="15.75" customHeight="1" x14ac:dyDescent="0.3">
      <c r="K751" s="6"/>
      <c r="L751" s="6"/>
      <c r="M751" s="6"/>
      <c r="N751" s="6"/>
    </row>
    <row r="752" spans="11:14" ht="15.75" customHeight="1" x14ac:dyDescent="0.3">
      <c r="K752" s="6"/>
      <c r="L752" s="6"/>
      <c r="M752" s="6"/>
      <c r="N752" s="6"/>
    </row>
    <row r="753" spans="11:14" ht="15.75" customHeight="1" x14ac:dyDescent="0.3">
      <c r="K753" s="6"/>
      <c r="L753" s="6"/>
      <c r="M753" s="6"/>
      <c r="N753" s="6"/>
    </row>
    <row r="754" spans="11:14" ht="15.75" customHeight="1" x14ac:dyDescent="0.3">
      <c r="K754" s="6"/>
      <c r="L754" s="6"/>
      <c r="M754" s="6"/>
      <c r="N754" s="6"/>
    </row>
    <row r="755" spans="11:14" ht="15.75" customHeight="1" x14ac:dyDescent="0.3">
      <c r="K755" s="6"/>
      <c r="L755" s="6"/>
      <c r="M755" s="6"/>
      <c r="N755" s="6"/>
    </row>
    <row r="756" spans="11:14" ht="15.75" customHeight="1" x14ac:dyDescent="0.3">
      <c r="K756" s="6"/>
      <c r="L756" s="6"/>
      <c r="M756" s="6"/>
      <c r="N756" s="6"/>
    </row>
    <row r="757" spans="11:14" ht="15.75" customHeight="1" x14ac:dyDescent="0.3">
      <c r="K757" s="6"/>
      <c r="L757" s="6"/>
      <c r="M757" s="6"/>
      <c r="N757" s="6"/>
    </row>
    <row r="758" spans="11:14" ht="15.75" customHeight="1" x14ac:dyDescent="0.3">
      <c r="K758" s="6"/>
      <c r="L758" s="6"/>
      <c r="M758" s="6"/>
      <c r="N758" s="6"/>
    </row>
    <row r="759" spans="11:14" ht="15.75" customHeight="1" x14ac:dyDescent="0.3">
      <c r="K759" s="6"/>
      <c r="L759" s="6"/>
      <c r="M759" s="6"/>
      <c r="N759" s="6"/>
    </row>
    <row r="760" spans="11:14" ht="15.75" customHeight="1" x14ac:dyDescent="0.3">
      <c r="K760" s="6"/>
      <c r="L760" s="6"/>
      <c r="M760" s="6"/>
      <c r="N760" s="6"/>
    </row>
    <row r="761" spans="11:14" ht="15.75" customHeight="1" x14ac:dyDescent="0.3">
      <c r="K761" s="6"/>
      <c r="L761" s="6"/>
      <c r="M761" s="6"/>
      <c r="N761" s="6"/>
    </row>
    <row r="762" spans="11:14" ht="15.75" customHeight="1" x14ac:dyDescent="0.3">
      <c r="K762" s="6"/>
      <c r="L762" s="6"/>
      <c r="M762" s="6"/>
      <c r="N762" s="6"/>
    </row>
    <row r="763" spans="11:14" ht="15.75" customHeight="1" x14ac:dyDescent="0.3">
      <c r="K763" s="6"/>
      <c r="L763" s="6"/>
      <c r="M763" s="6"/>
      <c r="N763" s="6"/>
    </row>
    <row r="764" spans="11:14" ht="15.75" customHeight="1" x14ac:dyDescent="0.3">
      <c r="K764" s="6"/>
      <c r="L764" s="6"/>
      <c r="M764" s="6"/>
      <c r="N764" s="6"/>
    </row>
    <row r="765" spans="11:14" ht="15.75" customHeight="1" x14ac:dyDescent="0.3">
      <c r="K765" s="6"/>
      <c r="L765" s="6"/>
      <c r="M765" s="6"/>
      <c r="N765" s="6"/>
    </row>
    <row r="766" spans="11:14" ht="15.75" customHeight="1" x14ac:dyDescent="0.3">
      <c r="K766" s="6"/>
      <c r="L766" s="6"/>
      <c r="M766" s="6"/>
      <c r="N766" s="6"/>
    </row>
    <row r="767" spans="11:14" ht="15.75" customHeight="1" x14ac:dyDescent="0.3">
      <c r="K767" s="6"/>
      <c r="L767" s="6"/>
      <c r="M767" s="6"/>
      <c r="N767" s="6"/>
    </row>
    <row r="768" spans="11:14" ht="15.75" customHeight="1" x14ac:dyDescent="0.3">
      <c r="K768" s="6"/>
      <c r="L768" s="6"/>
      <c r="M768" s="6"/>
      <c r="N768" s="6"/>
    </row>
    <row r="769" spans="11:14" ht="15.75" customHeight="1" x14ac:dyDescent="0.3">
      <c r="K769" s="6"/>
      <c r="L769" s="6"/>
      <c r="M769" s="6"/>
      <c r="N769" s="6"/>
    </row>
    <row r="770" spans="11:14" ht="15.75" customHeight="1" x14ac:dyDescent="0.3">
      <c r="K770" s="6"/>
      <c r="L770" s="6"/>
      <c r="M770" s="6"/>
      <c r="N770" s="6"/>
    </row>
    <row r="771" spans="11:14" ht="15.75" customHeight="1" x14ac:dyDescent="0.3">
      <c r="K771" s="6"/>
      <c r="L771" s="6"/>
      <c r="M771" s="6"/>
      <c r="N771" s="6"/>
    </row>
    <row r="772" spans="11:14" ht="15.75" customHeight="1" x14ac:dyDescent="0.3">
      <c r="K772" s="6"/>
      <c r="L772" s="6"/>
      <c r="M772" s="6"/>
      <c r="N772" s="6"/>
    </row>
    <row r="773" spans="11:14" ht="15.75" customHeight="1" x14ac:dyDescent="0.3">
      <c r="K773" s="6"/>
      <c r="L773" s="6"/>
      <c r="M773" s="6"/>
      <c r="N773" s="6"/>
    </row>
    <row r="774" spans="11:14" ht="15.75" customHeight="1" x14ac:dyDescent="0.3">
      <c r="K774" s="6"/>
      <c r="L774" s="6"/>
      <c r="M774" s="6"/>
      <c r="N774" s="6"/>
    </row>
    <row r="775" spans="11:14" ht="15.75" customHeight="1" x14ac:dyDescent="0.3">
      <c r="K775" s="6"/>
      <c r="L775" s="6"/>
      <c r="M775" s="6"/>
      <c r="N775" s="6"/>
    </row>
    <row r="776" spans="11:14" ht="15.75" customHeight="1" x14ac:dyDescent="0.3">
      <c r="K776" s="6"/>
      <c r="L776" s="6"/>
      <c r="M776" s="6"/>
      <c r="N776" s="6"/>
    </row>
    <row r="777" spans="11:14" ht="15.75" customHeight="1" x14ac:dyDescent="0.3">
      <c r="K777" s="6"/>
      <c r="L777" s="6"/>
      <c r="M777" s="6"/>
      <c r="N777" s="6"/>
    </row>
    <row r="778" spans="11:14" ht="15.75" customHeight="1" x14ac:dyDescent="0.3">
      <c r="K778" s="6"/>
      <c r="L778" s="6"/>
      <c r="M778" s="6"/>
      <c r="N778" s="6"/>
    </row>
    <row r="779" spans="11:14" ht="15.75" customHeight="1" x14ac:dyDescent="0.3">
      <c r="K779" s="6"/>
      <c r="L779" s="6"/>
      <c r="M779" s="6"/>
      <c r="N779" s="6"/>
    </row>
    <row r="780" spans="11:14" ht="15.75" customHeight="1" x14ac:dyDescent="0.3">
      <c r="K780" s="6"/>
      <c r="L780" s="6"/>
      <c r="M780" s="6"/>
      <c r="N780" s="6"/>
    </row>
    <row r="781" spans="11:14" ht="15.75" customHeight="1" x14ac:dyDescent="0.3">
      <c r="K781" s="6"/>
      <c r="L781" s="6"/>
      <c r="M781" s="6"/>
      <c r="N781" s="6"/>
    </row>
    <row r="782" spans="11:14" ht="15.75" customHeight="1" x14ac:dyDescent="0.3">
      <c r="K782" s="6"/>
      <c r="L782" s="6"/>
      <c r="M782" s="6"/>
      <c r="N782" s="6"/>
    </row>
    <row r="783" spans="11:14" ht="15.75" customHeight="1" x14ac:dyDescent="0.3">
      <c r="K783" s="6"/>
      <c r="L783" s="6"/>
      <c r="M783" s="6"/>
      <c r="N783" s="6"/>
    </row>
    <row r="784" spans="11:14" ht="15.75" customHeight="1" x14ac:dyDescent="0.3">
      <c r="K784" s="6"/>
      <c r="L784" s="6"/>
      <c r="M784" s="6"/>
      <c r="N784" s="6"/>
    </row>
    <row r="785" spans="11:14" ht="15.75" customHeight="1" x14ac:dyDescent="0.3">
      <c r="K785" s="6"/>
      <c r="L785" s="6"/>
      <c r="M785" s="6"/>
      <c r="N785" s="6"/>
    </row>
    <row r="786" spans="11:14" ht="15.75" customHeight="1" x14ac:dyDescent="0.3">
      <c r="K786" s="6"/>
      <c r="L786" s="6"/>
      <c r="M786" s="6"/>
      <c r="N786" s="6"/>
    </row>
    <row r="787" spans="11:14" ht="15.75" customHeight="1" x14ac:dyDescent="0.3">
      <c r="K787" s="6"/>
      <c r="L787" s="6"/>
      <c r="M787" s="6"/>
      <c r="N787" s="6"/>
    </row>
    <row r="788" spans="11:14" ht="15.75" customHeight="1" x14ac:dyDescent="0.3">
      <c r="K788" s="6"/>
      <c r="L788" s="6"/>
      <c r="M788" s="6"/>
      <c r="N788" s="6"/>
    </row>
    <row r="789" spans="11:14" ht="15.75" customHeight="1" x14ac:dyDescent="0.3">
      <c r="K789" s="6"/>
      <c r="L789" s="6"/>
      <c r="M789" s="6"/>
      <c r="N789" s="6"/>
    </row>
    <row r="790" spans="11:14" ht="15.75" customHeight="1" x14ac:dyDescent="0.3">
      <c r="K790" s="6"/>
      <c r="L790" s="6"/>
      <c r="M790" s="6"/>
      <c r="N790" s="6"/>
    </row>
    <row r="791" spans="11:14" ht="15.75" customHeight="1" x14ac:dyDescent="0.3">
      <c r="K791" s="6"/>
      <c r="L791" s="6"/>
      <c r="M791" s="6"/>
      <c r="N791" s="6"/>
    </row>
    <row r="792" spans="11:14" ht="15.75" customHeight="1" x14ac:dyDescent="0.3">
      <c r="K792" s="6"/>
      <c r="L792" s="6"/>
      <c r="M792" s="6"/>
      <c r="N792" s="6"/>
    </row>
    <row r="793" spans="11:14" ht="15.75" customHeight="1" x14ac:dyDescent="0.3">
      <c r="K793" s="6"/>
      <c r="L793" s="6"/>
      <c r="M793" s="6"/>
      <c r="N793" s="6"/>
    </row>
    <row r="794" spans="11:14" ht="15.75" customHeight="1" x14ac:dyDescent="0.3">
      <c r="K794" s="6"/>
      <c r="L794" s="6"/>
      <c r="M794" s="6"/>
      <c r="N794" s="6"/>
    </row>
    <row r="795" spans="11:14" ht="15.75" customHeight="1" x14ac:dyDescent="0.3">
      <c r="K795" s="6"/>
      <c r="L795" s="6"/>
      <c r="M795" s="6"/>
      <c r="N795" s="6"/>
    </row>
    <row r="796" spans="11:14" ht="15.75" customHeight="1" x14ac:dyDescent="0.3">
      <c r="K796" s="6"/>
      <c r="L796" s="6"/>
      <c r="M796" s="6"/>
      <c r="N796" s="6"/>
    </row>
    <row r="797" spans="11:14" ht="15.75" customHeight="1" x14ac:dyDescent="0.3">
      <c r="K797" s="6"/>
      <c r="L797" s="6"/>
      <c r="M797" s="6"/>
      <c r="N797" s="6"/>
    </row>
    <row r="798" spans="11:14" ht="15.75" customHeight="1" x14ac:dyDescent="0.3">
      <c r="K798" s="6"/>
      <c r="L798" s="6"/>
      <c r="M798" s="6"/>
      <c r="N798" s="6"/>
    </row>
    <row r="799" spans="11:14" ht="15.75" customHeight="1" x14ac:dyDescent="0.3">
      <c r="K799" s="6"/>
      <c r="L799" s="6"/>
      <c r="M799" s="6"/>
      <c r="N799" s="6"/>
    </row>
    <row r="800" spans="11:14" ht="15.75" customHeight="1" x14ac:dyDescent="0.3">
      <c r="K800" s="6"/>
      <c r="L800" s="6"/>
      <c r="M800" s="6"/>
      <c r="N800" s="6"/>
    </row>
    <row r="801" spans="11:14" ht="15.75" customHeight="1" x14ac:dyDescent="0.3">
      <c r="K801" s="6"/>
      <c r="L801" s="6"/>
      <c r="M801" s="6"/>
      <c r="N801" s="6"/>
    </row>
    <row r="802" spans="11:14" ht="15.75" customHeight="1" x14ac:dyDescent="0.3">
      <c r="K802" s="6"/>
      <c r="L802" s="6"/>
      <c r="M802" s="6"/>
      <c r="N802" s="6"/>
    </row>
    <row r="803" spans="11:14" ht="15.75" customHeight="1" x14ac:dyDescent="0.3">
      <c r="K803" s="6"/>
      <c r="L803" s="6"/>
      <c r="M803" s="6"/>
      <c r="N803" s="6"/>
    </row>
    <row r="804" spans="11:14" ht="15.75" customHeight="1" x14ac:dyDescent="0.3">
      <c r="K804" s="6"/>
      <c r="L804" s="6"/>
      <c r="M804" s="6"/>
      <c r="N804" s="6"/>
    </row>
    <row r="805" spans="11:14" ht="15.75" customHeight="1" x14ac:dyDescent="0.3">
      <c r="K805" s="6"/>
      <c r="L805" s="6"/>
      <c r="M805" s="6"/>
      <c r="N805" s="6"/>
    </row>
    <row r="806" spans="11:14" ht="15.75" customHeight="1" x14ac:dyDescent="0.3">
      <c r="K806" s="6"/>
      <c r="L806" s="6"/>
      <c r="M806" s="6"/>
      <c r="N806" s="6"/>
    </row>
    <row r="807" spans="11:14" ht="15.75" customHeight="1" x14ac:dyDescent="0.3">
      <c r="K807" s="6"/>
      <c r="L807" s="6"/>
      <c r="M807" s="6"/>
      <c r="N807" s="6"/>
    </row>
    <row r="808" spans="11:14" ht="15.75" customHeight="1" x14ac:dyDescent="0.3">
      <c r="K808" s="6"/>
      <c r="L808" s="6"/>
      <c r="M808" s="6"/>
      <c r="N808" s="6"/>
    </row>
    <row r="809" spans="11:14" ht="15.75" customHeight="1" x14ac:dyDescent="0.3">
      <c r="K809" s="6"/>
      <c r="L809" s="6"/>
      <c r="M809" s="6"/>
      <c r="N809" s="6"/>
    </row>
    <row r="810" spans="11:14" ht="15.75" customHeight="1" x14ac:dyDescent="0.3">
      <c r="K810" s="6"/>
      <c r="L810" s="6"/>
      <c r="M810" s="6"/>
      <c r="N810" s="6"/>
    </row>
    <row r="811" spans="11:14" ht="15.75" customHeight="1" x14ac:dyDescent="0.3">
      <c r="K811" s="6"/>
      <c r="L811" s="6"/>
      <c r="M811" s="6"/>
      <c r="N811" s="6"/>
    </row>
    <row r="812" spans="11:14" ht="15.75" customHeight="1" x14ac:dyDescent="0.3">
      <c r="K812" s="6"/>
      <c r="L812" s="6"/>
      <c r="M812" s="6"/>
      <c r="N812" s="6"/>
    </row>
    <row r="813" spans="11:14" ht="15.75" customHeight="1" x14ac:dyDescent="0.3">
      <c r="K813" s="6"/>
      <c r="L813" s="6"/>
      <c r="M813" s="6"/>
      <c r="N813" s="6"/>
    </row>
    <row r="814" spans="11:14" ht="15.75" customHeight="1" x14ac:dyDescent="0.3">
      <c r="K814" s="6"/>
      <c r="L814" s="6"/>
      <c r="M814" s="6"/>
      <c r="N814" s="6"/>
    </row>
    <row r="815" spans="11:14" ht="15.75" customHeight="1" x14ac:dyDescent="0.3">
      <c r="K815" s="6"/>
      <c r="L815" s="6"/>
      <c r="M815" s="6"/>
      <c r="N815" s="6"/>
    </row>
    <row r="816" spans="11:14" ht="15.75" customHeight="1" x14ac:dyDescent="0.3">
      <c r="K816" s="6"/>
      <c r="L816" s="6"/>
      <c r="M816" s="6"/>
      <c r="N816" s="6"/>
    </row>
    <row r="817" spans="11:14" ht="15.75" customHeight="1" x14ac:dyDescent="0.3">
      <c r="K817" s="6"/>
      <c r="L817" s="6"/>
      <c r="M817" s="6"/>
      <c r="N817" s="6"/>
    </row>
    <row r="818" spans="11:14" ht="15.75" customHeight="1" x14ac:dyDescent="0.3">
      <c r="K818" s="6"/>
      <c r="L818" s="6"/>
      <c r="M818" s="6"/>
      <c r="N818" s="6"/>
    </row>
    <row r="819" spans="11:14" ht="15.75" customHeight="1" x14ac:dyDescent="0.3">
      <c r="K819" s="6"/>
      <c r="L819" s="6"/>
      <c r="M819" s="6"/>
      <c r="N819" s="6"/>
    </row>
    <row r="820" spans="11:14" ht="15.75" customHeight="1" x14ac:dyDescent="0.3">
      <c r="K820" s="6"/>
      <c r="L820" s="6"/>
      <c r="M820" s="6"/>
      <c r="N820" s="6"/>
    </row>
    <row r="821" spans="11:14" ht="15.75" customHeight="1" x14ac:dyDescent="0.3">
      <c r="K821" s="6"/>
      <c r="L821" s="6"/>
      <c r="M821" s="6"/>
      <c r="N821" s="6"/>
    </row>
    <row r="822" spans="11:14" ht="15.75" customHeight="1" x14ac:dyDescent="0.3">
      <c r="K822" s="6"/>
      <c r="L822" s="6"/>
      <c r="M822" s="6"/>
      <c r="N822" s="6"/>
    </row>
    <row r="823" spans="11:14" ht="15.75" customHeight="1" x14ac:dyDescent="0.3">
      <c r="K823" s="6"/>
      <c r="L823" s="6"/>
      <c r="M823" s="6"/>
      <c r="N823" s="6"/>
    </row>
    <row r="824" spans="11:14" ht="15.75" customHeight="1" x14ac:dyDescent="0.3">
      <c r="K824" s="6"/>
      <c r="L824" s="6"/>
      <c r="M824" s="6"/>
      <c r="N824" s="6"/>
    </row>
    <row r="825" spans="11:14" ht="15.75" customHeight="1" x14ac:dyDescent="0.3">
      <c r="K825" s="6"/>
      <c r="L825" s="6"/>
      <c r="M825" s="6"/>
      <c r="N825" s="6"/>
    </row>
    <row r="826" spans="11:14" ht="15.75" customHeight="1" x14ac:dyDescent="0.3">
      <c r="K826" s="6"/>
      <c r="L826" s="6"/>
      <c r="M826" s="6"/>
      <c r="N826" s="6"/>
    </row>
    <row r="827" spans="11:14" ht="15.75" customHeight="1" x14ac:dyDescent="0.3">
      <c r="K827" s="6"/>
      <c r="L827" s="6"/>
      <c r="M827" s="6"/>
      <c r="N827" s="6"/>
    </row>
    <row r="828" spans="11:14" ht="15.75" customHeight="1" x14ac:dyDescent="0.3">
      <c r="K828" s="6"/>
      <c r="L828" s="6"/>
      <c r="M828" s="6"/>
      <c r="N828" s="6"/>
    </row>
    <row r="829" spans="11:14" ht="15.75" customHeight="1" x14ac:dyDescent="0.3">
      <c r="K829" s="6"/>
      <c r="L829" s="6"/>
      <c r="M829" s="6"/>
      <c r="N829" s="6"/>
    </row>
    <row r="830" spans="11:14" ht="15.75" customHeight="1" x14ac:dyDescent="0.3">
      <c r="K830" s="6"/>
      <c r="L830" s="6"/>
      <c r="M830" s="6"/>
      <c r="N830" s="6"/>
    </row>
    <row r="831" spans="11:14" ht="15.75" customHeight="1" x14ac:dyDescent="0.3">
      <c r="K831" s="6"/>
      <c r="L831" s="6"/>
      <c r="M831" s="6"/>
      <c r="N831" s="6"/>
    </row>
    <row r="832" spans="11:14" ht="15.75" customHeight="1" x14ac:dyDescent="0.3">
      <c r="K832" s="6"/>
      <c r="L832" s="6"/>
      <c r="M832" s="6"/>
      <c r="N832" s="6"/>
    </row>
    <row r="833" spans="11:14" ht="15.75" customHeight="1" x14ac:dyDescent="0.3">
      <c r="K833" s="6"/>
      <c r="L833" s="6"/>
      <c r="M833" s="6"/>
      <c r="N833" s="6"/>
    </row>
    <row r="834" spans="11:14" ht="15.75" customHeight="1" x14ac:dyDescent="0.3">
      <c r="K834" s="6"/>
      <c r="L834" s="6"/>
      <c r="M834" s="6"/>
      <c r="N834" s="6"/>
    </row>
    <row r="835" spans="11:14" ht="15.75" customHeight="1" x14ac:dyDescent="0.3">
      <c r="K835" s="6"/>
      <c r="L835" s="6"/>
      <c r="M835" s="6"/>
      <c r="N835" s="6"/>
    </row>
    <row r="836" spans="11:14" ht="15.75" customHeight="1" x14ac:dyDescent="0.3">
      <c r="K836" s="6"/>
      <c r="L836" s="6"/>
      <c r="M836" s="6"/>
      <c r="N836" s="6"/>
    </row>
    <row r="837" spans="11:14" ht="15.75" customHeight="1" x14ac:dyDescent="0.3">
      <c r="K837" s="6"/>
      <c r="L837" s="6"/>
      <c r="M837" s="6"/>
      <c r="N837" s="6"/>
    </row>
    <row r="838" spans="11:14" ht="15.75" customHeight="1" x14ac:dyDescent="0.3">
      <c r="K838" s="6"/>
      <c r="L838" s="6"/>
      <c r="M838" s="6"/>
      <c r="N838" s="6"/>
    </row>
    <row r="839" spans="11:14" ht="15.75" customHeight="1" x14ac:dyDescent="0.3">
      <c r="K839" s="6"/>
      <c r="L839" s="6"/>
      <c r="M839" s="6"/>
      <c r="N839" s="6"/>
    </row>
    <row r="840" spans="11:14" ht="15.75" customHeight="1" x14ac:dyDescent="0.3">
      <c r="K840" s="6"/>
      <c r="L840" s="6"/>
      <c r="M840" s="6"/>
      <c r="N840" s="6"/>
    </row>
    <row r="841" spans="11:14" ht="15.75" customHeight="1" x14ac:dyDescent="0.3">
      <c r="K841" s="6"/>
      <c r="L841" s="6"/>
      <c r="M841" s="6"/>
      <c r="N841" s="6"/>
    </row>
    <row r="842" spans="11:14" ht="15.75" customHeight="1" x14ac:dyDescent="0.3">
      <c r="K842" s="6"/>
      <c r="L842" s="6"/>
      <c r="M842" s="6"/>
      <c r="N842" s="6"/>
    </row>
    <row r="843" spans="11:14" ht="15.75" customHeight="1" x14ac:dyDescent="0.3">
      <c r="K843" s="6"/>
      <c r="L843" s="6"/>
      <c r="M843" s="6"/>
      <c r="N843" s="6"/>
    </row>
    <row r="844" spans="11:14" ht="15.75" customHeight="1" x14ac:dyDescent="0.3">
      <c r="K844" s="6"/>
      <c r="L844" s="6"/>
      <c r="M844" s="6"/>
      <c r="N844" s="6"/>
    </row>
    <row r="845" spans="11:14" ht="15.75" customHeight="1" x14ac:dyDescent="0.3">
      <c r="K845" s="6"/>
      <c r="L845" s="6"/>
      <c r="M845" s="6"/>
      <c r="N845" s="6"/>
    </row>
    <row r="846" spans="11:14" ht="15.75" customHeight="1" x14ac:dyDescent="0.3">
      <c r="K846" s="6"/>
      <c r="L846" s="6"/>
      <c r="M846" s="6"/>
      <c r="N846" s="6"/>
    </row>
    <row r="847" spans="11:14" ht="15.75" customHeight="1" x14ac:dyDescent="0.3">
      <c r="K847" s="6"/>
      <c r="L847" s="6"/>
      <c r="M847" s="6"/>
      <c r="N847" s="6"/>
    </row>
    <row r="848" spans="11:14" ht="15.75" customHeight="1" x14ac:dyDescent="0.3">
      <c r="K848" s="6"/>
      <c r="L848" s="6"/>
      <c r="M848" s="6"/>
      <c r="N848" s="6"/>
    </row>
    <row r="849" spans="11:14" ht="15.75" customHeight="1" x14ac:dyDescent="0.3">
      <c r="K849" s="6"/>
      <c r="L849" s="6"/>
      <c r="M849" s="6"/>
      <c r="N849" s="6"/>
    </row>
    <row r="850" spans="11:14" ht="15.75" customHeight="1" x14ac:dyDescent="0.3">
      <c r="K850" s="6"/>
      <c r="L850" s="6"/>
      <c r="M850" s="6"/>
      <c r="N850" s="6"/>
    </row>
    <row r="851" spans="11:14" ht="15.75" customHeight="1" x14ac:dyDescent="0.3">
      <c r="K851" s="6"/>
      <c r="L851" s="6"/>
      <c r="M851" s="6"/>
      <c r="N851" s="6"/>
    </row>
    <row r="852" spans="11:14" ht="15.75" customHeight="1" x14ac:dyDescent="0.3">
      <c r="K852" s="6"/>
      <c r="L852" s="6"/>
      <c r="M852" s="6"/>
      <c r="N852" s="6"/>
    </row>
    <row r="853" spans="11:14" ht="15.75" customHeight="1" x14ac:dyDescent="0.3">
      <c r="K853" s="6"/>
      <c r="L853" s="6"/>
      <c r="M853" s="6"/>
      <c r="N853" s="6"/>
    </row>
    <row r="854" spans="11:14" ht="15.75" customHeight="1" x14ac:dyDescent="0.3">
      <c r="K854" s="6"/>
      <c r="L854" s="6"/>
      <c r="M854" s="6"/>
      <c r="N854" s="6"/>
    </row>
    <row r="855" spans="11:14" ht="15.75" customHeight="1" x14ac:dyDescent="0.3">
      <c r="K855" s="6"/>
      <c r="L855" s="6"/>
      <c r="M855" s="6"/>
      <c r="N855" s="6"/>
    </row>
    <row r="856" spans="11:14" ht="15.75" customHeight="1" x14ac:dyDescent="0.3">
      <c r="K856" s="6"/>
      <c r="L856" s="6"/>
      <c r="M856" s="6"/>
      <c r="N856" s="6"/>
    </row>
    <row r="857" spans="11:14" ht="15.75" customHeight="1" x14ac:dyDescent="0.3">
      <c r="K857" s="6"/>
      <c r="L857" s="6"/>
      <c r="M857" s="6"/>
      <c r="N857" s="6"/>
    </row>
    <row r="858" spans="11:14" ht="15.75" customHeight="1" x14ac:dyDescent="0.3">
      <c r="K858" s="6"/>
      <c r="L858" s="6"/>
      <c r="M858" s="6"/>
      <c r="N858" s="6"/>
    </row>
    <row r="859" spans="11:14" ht="15.75" customHeight="1" x14ac:dyDescent="0.3">
      <c r="K859" s="6"/>
      <c r="L859" s="6"/>
      <c r="M859" s="6"/>
      <c r="N859" s="6"/>
    </row>
    <row r="860" spans="11:14" ht="15.75" customHeight="1" x14ac:dyDescent="0.3">
      <c r="K860" s="6"/>
      <c r="L860" s="6"/>
      <c r="M860" s="6"/>
      <c r="N860" s="6"/>
    </row>
    <row r="861" spans="11:14" ht="15.75" customHeight="1" x14ac:dyDescent="0.3">
      <c r="K861" s="6"/>
      <c r="L861" s="6"/>
      <c r="M861" s="6"/>
      <c r="N861" s="6"/>
    </row>
    <row r="862" spans="11:14" ht="15.75" customHeight="1" x14ac:dyDescent="0.3">
      <c r="K862" s="6"/>
      <c r="L862" s="6"/>
      <c r="M862" s="6"/>
      <c r="N862" s="6"/>
    </row>
    <row r="863" spans="11:14" ht="15.75" customHeight="1" x14ac:dyDescent="0.3">
      <c r="K863" s="6"/>
      <c r="L863" s="6"/>
      <c r="M863" s="6"/>
      <c r="N863" s="6"/>
    </row>
    <row r="864" spans="11:14" ht="15.75" customHeight="1" x14ac:dyDescent="0.3">
      <c r="K864" s="6"/>
      <c r="L864" s="6"/>
      <c r="M864" s="6"/>
      <c r="N864" s="6"/>
    </row>
    <row r="865" spans="11:14" ht="15.75" customHeight="1" x14ac:dyDescent="0.3">
      <c r="K865" s="6"/>
      <c r="L865" s="6"/>
      <c r="M865" s="6"/>
      <c r="N865" s="6"/>
    </row>
    <row r="866" spans="11:14" ht="15.75" customHeight="1" x14ac:dyDescent="0.3">
      <c r="K866" s="6"/>
      <c r="L866" s="6"/>
      <c r="M866" s="6"/>
      <c r="N866" s="6"/>
    </row>
    <row r="867" spans="11:14" ht="15.75" customHeight="1" x14ac:dyDescent="0.3">
      <c r="K867" s="6"/>
      <c r="L867" s="6"/>
      <c r="M867" s="6"/>
      <c r="N867" s="6"/>
    </row>
    <row r="868" spans="11:14" ht="15.75" customHeight="1" x14ac:dyDescent="0.3">
      <c r="K868" s="6"/>
      <c r="L868" s="6"/>
      <c r="M868" s="6"/>
      <c r="N868" s="6"/>
    </row>
    <row r="869" spans="11:14" ht="15.75" customHeight="1" x14ac:dyDescent="0.3">
      <c r="K869" s="6"/>
      <c r="L869" s="6"/>
      <c r="M869" s="6"/>
      <c r="N869" s="6"/>
    </row>
    <row r="870" spans="11:14" ht="15.75" customHeight="1" x14ac:dyDescent="0.3">
      <c r="K870" s="6"/>
      <c r="L870" s="6"/>
      <c r="M870" s="6"/>
      <c r="N870" s="6"/>
    </row>
    <row r="871" spans="11:14" ht="15.75" customHeight="1" x14ac:dyDescent="0.3">
      <c r="K871" s="6"/>
      <c r="L871" s="6"/>
      <c r="M871" s="6"/>
      <c r="N871" s="6"/>
    </row>
    <row r="872" spans="11:14" ht="15.75" customHeight="1" x14ac:dyDescent="0.3">
      <c r="K872" s="6"/>
      <c r="L872" s="6"/>
      <c r="M872" s="6"/>
      <c r="N872" s="6"/>
    </row>
    <row r="873" spans="11:14" ht="15.75" customHeight="1" x14ac:dyDescent="0.3">
      <c r="K873" s="6"/>
      <c r="L873" s="6"/>
      <c r="M873" s="6"/>
      <c r="N873" s="6"/>
    </row>
    <row r="874" spans="11:14" ht="15.75" customHeight="1" x14ac:dyDescent="0.3">
      <c r="K874" s="6"/>
      <c r="L874" s="6"/>
      <c r="M874" s="6"/>
      <c r="N874" s="6"/>
    </row>
    <row r="875" spans="11:14" ht="15.75" customHeight="1" x14ac:dyDescent="0.3">
      <c r="K875" s="6"/>
      <c r="L875" s="6"/>
      <c r="M875" s="6"/>
      <c r="N875" s="6"/>
    </row>
    <row r="876" spans="11:14" ht="15.75" customHeight="1" x14ac:dyDescent="0.3">
      <c r="K876" s="6"/>
      <c r="L876" s="6"/>
      <c r="M876" s="6"/>
      <c r="N876" s="6"/>
    </row>
    <row r="877" spans="11:14" ht="15.75" customHeight="1" x14ac:dyDescent="0.3">
      <c r="K877" s="6"/>
      <c r="L877" s="6"/>
      <c r="M877" s="6"/>
      <c r="N877" s="6"/>
    </row>
    <row r="878" spans="11:14" ht="15.75" customHeight="1" x14ac:dyDescent="0.3">
      <c r="K878" s="6"/>
      <c r="L878" s="6"/>
      <c r="M878" s="6"/>
      <c r="N878" s="6"/>
    </row>
    <row r="879" spans="11:14" ht="15.75" customHeight="1" x14ac:dyDescent="0.3">
      <c r="K879" s="6"/>
      <c r="L879" s="6"/>
      <c r="M879" s="6"/>
      <c r="N879" s="6"/>
    </row>
    <row r="880" spans="11:14" ht="15.75" customHeight="1" x14ac:dyDescent="0.3">
      <c r="K880" s="6"/>
      <c r="L880" s="6"/>
      <c r="M880" s="6"/>
      <c r="N880" s="6"/>
    </row>
    <row r="881" spans="11:14" ht="15.75" customHeight="1" x14ac:dyDescent="0.3">
      <c r="K881" s="6"/>
      <c r="L881" s="6"/>
      <c r="M881" s="6"/>
      <c r="N881" s="6"/>
    </row>
    <row r="882" spans="11:14" ht="15.75" customHeight="1" x14ac:dyDescent="0.3">
      <c r="K882" s="6"/>
      <c r="L882" s="6"/>
      <c r="M882" s="6"/>
      <c r="N882" s="6"/>
    </row>
    <row r="883" spans="11:14" ht="15.75" customHeight="1" x14ac:dyDescent="0.3">
      <c r="K883" s="6"/>
      <c r="L883" s="6"/>
      <c r="M883" s="6"/>
      <c r="N883" s="6"/>
    </row>
    <row r="884" spans="11:14" ht="15.75" customHeight="1" x14ac:dyDescent="0.3">
      <c r="K884" s="6"/>
      <c r="L884" s="6"/>
      <c r="M884" s="6"/>
      <c r="N884" s="6"/>
    </row>
    <row r="885" spans="11:14" ht="15.75" customHeight="1" x14ac:dyDescent="0.3">
      <c r="K885" s="6"/>
      <c r="L885" s="6"/>
      <c r="M885" s="6"/>
      <c r="N885" s="6"/>
    </row>
    <row r="886" spans="11:14" ht="15.75" customHeight="1" x14ac:dyDescent="0.3">
      <c r="K886" s="6"/>
      <c r="L886" s="6"/>
      <c r="M886" s="6"/>
      <c r="N886" s="6"/>
    </row>
    <row r="887" spans="11:14" ht="15.75" customHeight="1" x14ac:dyDescent="0.3">
      <c r="K887" s="6"/>
      <c r="L887" s="6"/>
      <c r="M887" s="6"/>
      <c r="N887" s="6"/>
    </row>
    <row r="888" spans="11:14" ht="15.75" customHeight="1" x14ac:dyDescent="0.3">
      <c r="K888" s="6"/>
      <c r="L888" s="6"/>
      <c r="M888" s="6"/>
      <c r="N888" s="6"/>
    </row>
    <row r="889" spans="11:14" ht="15.75" customHeight="1" x14ac:dyDescent="0.3">
      <c r="K889" s="6"/>
      <c r="L889" s="6"/>
      <c r="M889" s="6"/>
      <c r="N889" s="6"/>
    </row>
    <row r="890" spans="11:14" ht="15.75" customHeight="1" x14ac:dyDescent="0.3">
      <c r="K890" s="6"/>
      <c r="L890" s="6"/>
      <c r="M890" s="6"/>
      <c r="N890" s="6"/>
    </row>
    <row r="891" spans="11:14" ht="15.75" customHeight="1" x14ac:dyDescent="0.3">
      <c r="K891" s="6"/>
      <c r="L891" s="6"/>
      <c r="M891" s="6"/>
      <c r="N891" s="6"/>
    </row>
    <row r="892" spans="11:14" ht="15.75" customHeight="1" x14ac:dyDescent="0.3">
      <c r="K892" s="6"/>
      <c r="L892" s="6"/>
      <c r="M892" s="6"/>
      <c r="N892" s="6"/>
    </row>
    <row r="893" spans="11:14" ht="15.75" customHeight="1" x14ac:dyDescent="0.3">
      <c r="K893" s="6"/>
      <c r="L893" s="6"/>
      <c r="M893" s="6"/>
      <c r="N893" s="6"/>
    </row>
    <row r="894" spans="11:14" ht="15.75" customHeight="1" x14ac:dyDescent="0.3">
      <c r="K894" s="6"/>
      <c r="L894" s="6"/>
      <c r="M894" s="6"/>
      <c r="N894" s="6"/>
    </row>
    <row r="895" spans="11:14" ht="15.75" customHeight="1" x14ac:dyDescent="0.3">
      <c r="K895" s="6"/>
      <c r="L895" s="6"/>
      <c r="M895" s="6"/>
      <c r="N895" s="6"/>
    </row>
    <row r="896" spans="11:14" ht="15.75" customHeight="1" x14ac:dyDescent="0.3">
      <c r="K896" s="6"/>
      <c r="L896" s="6"/>
      <c r="M896" s="6"/>
      <c r="N896" s="6"/>
    </row>
    <row r="897" spans="11:14" ht="15.75" customHeight="1" x14ac:dyDescent="0.3">
      <c r="K897" s="6"/>
      <c r="L897" s="6"/>
      <c r="M897" s="6"/>
      <c r="N897" s="6"/>
    </row>
    <row r="898" spans="11:14" ht="15.75" customHeight="1" x14ac:dyDescent="0.3">
      <c r="K898" s="6"/>
      <c r="L898" s="6"/>
      <c r="M898" s="6"/>
      <c r="N898" s="6"/>
    </row>
    <row r="899" spans="11:14" ht="15.75" customHeight="1" x14ac:dyDescent="0.3">
      <c r="K899" s="6"/>
      <c r="L899" s="6"/>
      <c r="M899" s="6"/>
      <c r="N899" s="6"/>
    </row>
    <row r="900" spans="11:14" ht="15.75" customHeight="1" x14ac:dyDescent="0.3">
      <c r="K900" s="6"/>
      <c r="L900" s="6"/>
      <c r="M900" s="6"/>
      <c r="N900" s="6"/>
    </row>
    <row r="901" spans="11:14" ht="15.75" customHeight="1" x14ac:dyDescent="0.3">
      <c r="K901" s="6"/>
      <c r="L901" s="6"/>
      <c r="M901" s="6"/>
      <c r="N901" s="6"/>
    </row>
    <row r="902" spans="11:14" ht="15.75" customHeight="1" x14ac:dyDescent="0.3">
      <c r="K902" s="6"/>
      <c r="L902" s="6"/>
      <c r="M902" s="6"/>
      <c r="N902" s="6"/>
    </row>
    <row r="903" spans="11:14" ht="15.75" customHeight="1" x14ac:dyDescent="0.3">
      <c r="K903" s="6"/>
      <c r="L903" s="6"/>
      <c r="M903" s="6"/>
      <c r="N903" s="6"/>
    </row>
    <row r="904" spans="11:14" ht="15.75" customHeight="1" x14ac:dyDescent="0.3">
      <c r="K904" s="6"/>
      <c r="L904" s="6"/>
      <c r="M904" s="6"/>
      <c r="N904" s="6"/>
    </row>
    <row r="905" spans="11:14" ht="15.75" customHeight="1" x14ac:dyDescent="0.3">
      <c r="K905" s="6"/>
      <c r="L905" s="6"/>
      <c r="M905" s="6"/>
      <c r="N905" s="6"/>
    </row>
    <row r="906" spans="11:14" ht="15.75" customHeight="1" x14ac:dyDescent="0.3">
      <c r="K906" s="6"/>
      <c r="L906" s="6"/>
      <c r="M906" s="6"/>
      <c r="N906" s="6"/>
    </row>
    <row r="907" spans="11:14" ht="15.75" customHeight="1" x14ac:dyDescent="0.3">
      <c r="K907" s="6"/>
      <c r="L907" s="6"/>
      <c r="M907" s="6"/>
      <c r="N907" s="6"/>
    </row>
    <row r="908" spans="11:14" ht="15.75" customHeight="1" x14ac:dyDescent="0.3">
      <c r="K908" s="6"/>
      <c r="L908" s="6"/>
      <c r="M908" s="6"/>
      <c r="N908" s="6"/>
    </row>
    <row r="909" spans="11:14" ht="15.75" customHeight="1" x14ac:dyDescent="0.3">
      <c r="K909" s="6"/>
      <c r="L909" s="6"/>
      <c r="M909" s="6"/>
      <c r="N909" s="6"/>
    </row>
    <row r="910" spans="11:14" ht="15.75" customHeight="1" x14ac:dyDescent="0.3">
      <c r="K910" s="6"/>
      <c r="L910" s="6"/>
      <c r="M910" s="6"/>
      <c r="N910" s="6"/>
    </row>
    <row r="911" spans="11:14" ht="15.75" customHeight="1" x14ac:dyDescent="0.3">
      <c r="K911" s="6"/>
      <c r="L911" s="6"/>
      <c r="M911" s="6"/>
      <c r="N911" s="6"/>
    </row>
    <row r="912" spans="11:14" ht="15.75" customHeight="1" x14ac:dyDescent="0.3">
      <c r="K912" s="6"/>
      <c r="L912" s="6"/>
      <c r="M912" s="6"/>
      <c r="N912" s="6"/>
    </row>
    <row r="913" spans="11:14" ht="15.75" customHeight="1" x14ac:dyDescent="0.3">
      <c r="K913" s="6"/>
      <c r="L913" s="6"/>
      <c r="M913" s="6"/>
      <c r="N913" s="6"/>
    </row>
    <row r="914" spans="11:14" ht="15.75" customHeight="1" x14ac:dyDescent="0.3">
      <c r="K914" s="6"/>
      <c r="L914" s="6"/>
      <c r="M914" s="6"/>
      <c r="N914" s="6"/>
    </row>
    <row r="915" spans="11:14" ht="15.75" customHeight="1" x14ac:dyDescent="0.3">
      <c r="K915" s="6"/>
      <c r="L915" s="6"/>
      <c r="M915" s="6"/>
      <c r="N915" s="6"/>
    </row>
    <row r="916" spans="11:14" ht="15.75" customHeight="1" x14ac:dyDescent="0.3">
      <c r="K916" s="6"/>
      <c r="L916" s="6"/>
      <c r="M916" s="6"/>
      <c r="N916" s="6"/>
    </row>
    <row r="917" spans="11:14" ht="15.75" customHeight="1" x14ac:dyDescent="0.3">
      <c r="K917" s="6"/>
      <c r="L917" s="6"/>
      <c r="M917" s="6"/>
      <c r="N917" s="6"/>
    </row>
    <row r="918" spans="11:14" ht="15.75" customHeight="1" x14ac:dyDescent="0.3">
      <c r="K918" s="6"/>
      <c r="L918" s="6"/>
      <c r="M918" s="6"/>
      <c r="N918" s="6"/>
    </row>
    <row r="919" spans="11:14" ht="15.75" customHeight="1" x14ac:dyDescent="0.3">
      <c r="K919" s="6"/>
      <c r="L919" s="6"/>
      <c r="M919" s="6"/>
      <c r="N919" s="6"/>
    </row>
    <row r="920" spans="11:14" ht="15.75" customHeight="1" x14ac:dyDescent="0.3">
      <c r="K920" s="6"/>
      <c r="L920" s="6"/>
      <c r="M920" s="6"/>
      <c r="N920" s="6"/>
    </row>
    <row r="921" spans="11:14" ht="15.75" customHeight="1" x14ac:dyDescent="0.3">
      <c r="K921" s="6"/>
      <c r="L921" s="6"/>
      <c r="M921" s="6"/>
      <c r="N921" s="6"/>
    </row>
    <row r="922" spans="11:14" ht="15.75" customHeight="1" x14ac:dyDescent="0.3">
      <c r="K922" s="6"/>
      <c r="L922" s="6"/>
      <c r="M922" s="6"/>
      <c r="N922" s="6"/>
    </row>
    <row r="923" spans="11:14" ht="15.75" customHeight="1" x14ac:dyDescent="0.3">
      <c r="K923" s="6"/>
      <c r="L923" s="6"/>
      <c r="M923" s="6"/>
      <c r="N923" s="6"/>
    </row>
    <row r="924" spans="11:14" ht="15.75" customHeight="1" x14ac:dyDescent="0.3">
      <c r="K924" s="6"/>
      <c r="L924" s="6"/>
      <c r="M924" s="6"/>
      <c r="N924" s="6"/>
    </row>
    <row r="925" spans="11:14" ht="15.75" customHeight="1" x14ac:dyDescent="0.3">
      <c r="K925" s="6"/>
      <c r="L925" s="6"/>
      <c r="M925" s="6"/>
      <c r="N925" s="6"/>
    </row>
    <row r="926" spans="11:14" ht="15.75" customHeight="1" x14ac:dyDescent="0.3">
      <c r="K926" s="6"/>
      <c r="L926" s="6"/>
      <c r="M926" s="6"/>
      <c r="N926" s="6"/>
    </row>
    <row r="927" spans="11:14" ht="15.75" customHeight="1" x14ac:dyDescent="0.3">
      <c r="K927" s="6"/>
      <c r="L927" s="6"/>
      <c r="M927" s="6"/>
      <c r="N927" s="6"/>
    </row>
    <row r="928" spans="11:14" ht="15.75" customHeight="1" x14ac:dyDescent="0.3">
      <c r="K928" s="6"/>
      <c r="L928" s="6"/>
      <c r="M928" s="6"/>
      <c r="N928" s="6"/>
    </row>
    <row r="929" spans="11:14" ht="15.75" customHeight="1" x14ac:dyDescent="0.3">
      <c r="K929" s="6"/>
      <c r="L929" s="6"/>
      <c r="M929" s="6"/>
      <c r="N929" s="6"/>
    </row>
    <row r="930" spans="11:14" ht="15.75" customHeight="1" x14ac:dyDescent="0.3">
      <c r="K930" s="6"/>
      <c r="L930" s="6"/>
      <c r="M930" s="6"/>
      <c r="N930" s="6"/>
    </row>
    <row r="931" spans="11:14" ht="15.75" customHeight="1" x14ac:dyDescent="0.3">
      <c r="K931" s="6"/>
      <c r="L931" s="6"/>
      <c r="M931" s="6"/>
      <c r="N931" s="6"/>
    </row>
    <row r="932" spans="11:14" ht="15.75" customHeight="1" x14ac:dyDescent="0.3">
      <c r="K932" s="6"/>
      <c r="L932" s="6"/>
      <c r="M932" s="6"/>
      <c r="N932" s="6"/>
    </row>
    <row r="933" spans="11:14" ht="15.75" customHeight="1" x14ac:dyDescent="0.3">
      <c r="K933" s="6"/>
      <c r="L933" s="6"/>
      <c r="M933" s="6"/>
      <c r="N933" s="6"/>
    </row>
    <row r="934" spans="11:14" ht="15.75" customHeight="1" x14ac:dyDescent="0.3">
      <c r="K934" s="6"/>
      <c r="L934" s="6"/>
      <c r="M934" s="6"/>
      <c r="N934" s="6"/>
    </row>
    <row r="935" spans="11:14" ht="15.75" customHeight="1" x14ac:dyDescent="0.3">
      <c r="K935" s="6"/>
      <c r="L935" s="6"/>
      <c r="M935" s="6"/>
      <c r="N935" s="6"/>
    </row>
    <row r="936" spans="11:14" ht="15.75" customHeight="1" x14ac:dyDescent="0.3">
      <c r="K936" s="6"/>
      <c r="L936" s="6"/>
      <c r="M936" s="6"/>
      <c r="N936" s="6"/>
    </row>
    <row r="937" spans="11:14" ht="15.75" customHeight="1" x14ac:dyDescent="0.3">
      <c r="K937" s="6"/>
      <c r="L937" s="6"/>
      <c r="M937" s="6"/>
      <c r="N937" s="6"/>
    </row>
    <row r="938" spans="11:14" ht="15.75" customHeight="1" x14ac:dyDescent="0.3">
      <c r="K938" s="6"/>
      <c r="L938" s="6"/>
      <c r="M938" s="6"/>
      <c r="N938" s="6"/>
    </row>
    <row r="939" spans="11:14" ht="15.75" customHeight="1" x14ac:dyDescent="0.3">
      <c r="K939" s="6"/>
      <c r="L939" s="6"/>
      <c r="M939" s="6"/>
      <c r="N939" s="6"/>
    </row>
    <row r="940" spans="11:14" ht="15.75" customHeight="1" x14ac:dyDescent="0.3">
      <c r="K940" s="6"/>
      <c r="L940" s="6"/>
      <c r="M940" s="6"/>
      <c r="N940" s="6"/>
    </row>
    <row r="941" spans="11:14" ht="15.75" customHeight="1" x14ac:dyDescent="0.3">
      <c r="K941" s="6"/>
      <c r="L941" s="6"/>
      <c r="M941" s="6"/>
      <c r="N941" s="6"/>
    </row>
    <row r="942" spans="11:14" ht="15.75" customHeight="1" x14ac:dyDescent="0.3">
      <c r="K942" s="6"/>
      <c r="L942" s="6"/>
      <c r="M942" s="6"/>
      <c r="N942" s="6"/>
    </row>
    <row r="943" spans="11:14" ht="15.75" customHeight="1" x14ac:dyDescent="0.3">
      <c r="K943" s="6"/>
      <c r="L943" s="6"/>
      <c r="M943" s="6"/>
      <c r="N943" s="6"/>
    </row>
    <row r="944" spans="11:14" ht="15.75" customHeight="1" x14ac:dyDescent="0.3">
      <c r="K944" s="6"/>
      <c r="L944" s="6"/>
      <c r="M944" s="6"/>
      <c r="N944" s="6"/>
    </row>
    <row r="945" spans="11:14" ht="15.75" customHeight="1" x14ac:dyDescent="0.3">
      <c r="K945" s="6"/>
      <c r="L945" s="6"/>
      <c r="M945" s="6"/>
      <c r="N945" s="6"/>
    </row>
    <row r="946" spans="11:14" ht="15.75" customHeight="1" x14ac:dyDescent="0.3">
      <c r="K946" s="6"/>
      <c r="L946" s="6"/>
      <c r="M946" s="6"/>
      <c r="N946" s="6"/>
    </row>
    <row r="947" spans="11:14" ht="15.75" customHeight="1" x14ac:dyDescent="0.3">
      <c r="K947" s="6"/>
      <c r="L947" s="6"/>
      <c r="M947" s="6"/>
      <c r="N947" s="6"/>
    </row>
    <row r="948" spans="11:14" ht="15.75" customHeight="1" x14ac:dyDescent="0.3">
      <c r="K948" s="6"/>
      <c r="L948" s="6"/>
      <c r="M948" s="6"/>
      <c r="N948" s="6"/>
    </row>
    <row r="949" spans="11:14" ht="15.75" customHeight="1" x14ac:dyDescent="0.3">
      <c r="K949" s="6"/>
      <c r="L949" s="6"/>
      <c r="M949" s="6"/>
      <c r="N949" s="6"/>
    </row>
    <row r="950" spans="11:14" ht="15.75" customHeight="1" x14ac:dyDescent="0.3">
      <c r="K950" s="6"/>
      <c r="L950" s="6"/>
      <c r="M950" s="6"/>
      <c r="N950" s="6"/>
    </row>
    <row r="951" spans="11:14" ht="15.75" customHeight="1" x14ac:dyDescent="0.3">
      <c r="K951" s="6"/>
      <c r="L951" s="6"/>
      <c r="M951" s="6"/>
      <c r="N951" s="6"/>
    </row>
    <row r="952" spans="11:14" ht="15.75" customHeight="1" x14ac:dyDescent="0.3">
      <c r="K952" s="6"/>
      <c r="L952" s="6"/>
      <c r="M952" s="6"/>
      <c r="N952" s="6"/>
    </row>
    <row r="953" spans="11:14" ht="15.75" customHeight="1" x14ac:dyDescent="0.3">
      <c r="K953" s="6"/>
      <c r="L953" s="6"/>
      <c r="M953" s="6"/>
      <c r="N953" s="6"/>
    </row>
    <row r="954" spans="11:14" ht="15.75" customHeight="1" x14ac:dyDescent="0.3">
      <c r="K954" s="6"/>
      <c r="L954" s="6"/>
      <c r="M954" s="6"/>
      <c r="N954" s="6"/>
    </row>
    <row r="955" spans="11:14" ht="15.75" customHeight="1" x14ac:dyDescent="0.3">
      <c r="K955" s="6"/>
      <c r="L955" s="6"/>
      <c r="M955" s="6"/>
      <c r="N955" s="6"/>
    </row>
    <row r="956" spans="11:14" ht="15.75" customHeight="1" x14ac:dyDescent="0.3">
      <c r="K956" s="6"/>
      <c r="L956" s="6"/>
      <c r="M956" s="6"/>
      <c r="N956" s="6"/>
    </row>
    <row r="957" spans="11:14" ht="15.75" customHeight="1" x14ac:dyDescent="0.3">
      <c r="K957" s="6"/>
      <c r="L957" s="6"/>
      <c r="M957" s="6"/>
      <c r="N957" s="6"/>
    </row>
    <row r="958" spans="11:14" ht="15.75" customHeight="1" x14ac:dyDescent="0.3">
      <c r="K958" s="6"/>
      <c r="L958" s="6"/>
      <c r="M958" s="6"/>
      <c r="N958" s="6"/>
    </row>
    <row r="959" spans="11:14" ht="15.75" customHeight="1" x14ac:dyDescent="0.3">
      <c r="K959" s="6"/>
      <c r="L959" s="6"/>
      <c r="M959" s="6"/>
      <c r="N959" s="6"/>
    </row>
    <row r="960" spans="11:14" ht="15.75" customHeight="1" x14ac:dyDescent="0.3">
      <c r="K960" s="6"/>
      <c r="L960" s="6"/>
      <c r="M960" s="6"/>
      <c r="N960" s="6"/>
    </row>
    <row r="961" spans="11:14" ht="15.75" customHeight="1" x14ac:dyDescent="0.3">
      <c r="K961" s="6"/>
      <c r="L961" s="6"/>
      <c r="M961" s="6"/>
      <c r="N961" s="6"/>
    </row>
    <row r="962" spans="11:14" ht="15.75" customHeight="1" x14ac:dyDescent="0.3">
      <c r="K962" s="6"/>
      <c r="L962" s="6"/>
      <c r="M962" s="6"/>
      <c r="N962" s="6"/>
    </row>
    <row r="963" spans="11:14" ht="15.75" customHeight="1" x14ac:dyDescent="0.3">
      <c r="K963" s="6"/>
      <c r="L963" s="6"/>
      <c r="M963" s="6"/>
      <c r="N963" s="6"/>
    </row>
    <row r="964" spans="11:14" ht="15.75" customHeight="1" x14ac:dyDescent="0.3">
      <c r="K964" s="6"/>
      <c r="L964" s="6"/>
      <c r="M964" s="6"/>
      <c r="N964" s="6"/>
    </row>
    <row r="965" spans="11:14" ht="15.75" customHeight="1" x14ac:dyDescent="0.3">
      <c r="K965" s="6"/>
      <c r="L965" s="6"/>
      <c r="M965" s="6"/>
      <c r="N965" s="6"/>
    </row>
    <row r="966" spans="11:14" ht="15.75" customHeight="1" x14ac:dyDescent="0.3">
      <c r="K966" s="6"/>
      <c r="L966" s="6"/>
      <c r="M966" s="6"/>
      <c r="N966" s="6"/>
    </row>
    <row r="967" spans="11:14" ht="15.75" customHeight="1" x14ac:dyDescent="0.3">
      <c r="K967" s="6"/>
      <c r="L967" s="6"/>
      <c r="M967" s="6"/>
      <c r="N967" s="6"/>
    </row>
    <row r="968" spans="11:14" ht="15.75" customHeight="1" x14ac:dyDescent="0.3">
      <c r="K968" s="6"/>
      <c r="L968" s="6"/>
      <c r="M968" s="6"/>
      <c r="N968" s="6"/>
    </row>
    <row r="969" spans="11:14" ht="15.75" customHeight="1" x14ac:dyDescent="0.3">
      <c r="K969" s="6"/>
      <c r="L969" s="6"/>
      <c r="M969" s="6"/>
      <c r="N969" s="6"/>
    </row>
    <row r="970" spans="11:14" ht="15.75" customHeight="1" x14ac:dyDescent="0.3">
      <c r="K970" s="6"/>
      <c r="L970" s="6"/>
      <c r="M970" s="6"/>
      <c r="N970" s="6"/>
    </row>
    <row r="971" spans="11:14" ht="15.75" customHeight="1" x14ac:dyDescent="0.3">
      <c r="K971" s="6"/>
      <c r="L971" s="6"/>
      <c r="M971" s="6"/>
      <c r="N971" s="6"/>
    </row>
    <row r="972" spans="11:14" ht="15.75" customHeight="1" x14ac:dyDescent="0.3">
      <c r="K972" s="6"/>
      <c r="L972" s="6"/>
      <c r="M972" s="6"/>
      <c r="N972" s="6"/>
    </row>
    <row r="973" spans="11:14" ht="15.75" customHeight="1" x14ac:dyDescent="0.3">
      <c r="K973" s="6"/>
      <c r="L973" s="6"/>
      <c r="M973" s="6"/>
      <c r="N973" s="6"/>
    </row>
    <row r="974" spans="11:14" ht="15.75" customHeight="1" x14ac:dyDescent="0.3">
      <c r="K974" s="6"/>
      <c r="L974" s="6"/>
      <c r="M974" s="6"/>
      <c r="N974" s="6"/>
    </row>
    <row r="975" spans="11:14" ht="15.75" customHeight="1" x14ac:dyDescent="0.3">
      <c r="K975" s="6"/>
      <c r="L975" s="6"/>
      <c r="M975" s="6"/>
      <c r="N975" s="6"/>
    </row>
    <row r="976" spans="11:14" ht="15.75" customHeight="1" x14ac:dyDescent="0.3">
      <c r="K976" s="6"/>
      <c r="L976" s="6"/>
      <c r="M976" s="6"/>
      <c r="N976" s="6"/>
    </row>
    <row r="977" spans="11:14" ht="15.75" customHeight="1" x14ac:dyDescent="0.3">
      <c r="K977" s="6"/>
      <c r="L977" s="6"/>
      <c r="M977" s="6"/>
      <c r="N977" s="6"/>
    </row>
    <row r="978" spans="11:14" ht="15.75" customHeight="1" x14ac:dyDescent="0.3">
      <c r="K978" s="6"/>
      <c r="L978" s="6"/>
      <c r="M978" s="6"/>
      <c r="N978" s="6"/>
    </row>
    <row r="979" spans="11:14" ht="15.75" customHeight="1" x14ac:dyDescent="0.3">
      <c r="K979" s="6"/>
      <c r="L979" s="6"/>
      <c r="M979" s="6"/>
      <c r="N979" s="6"/>
    </row>
    <row r="980" spans="11:14" ht="15.75" customHeight="1" x14ac:dyDescent="0.3">
      <c r="K980" s="6"/>
      <c r="L980" s="6"/>
      <c r="M980" s="6"/>
      <c r="N980" s="6"/>
    </row>
    <row r="981" spans="11:14" ht="15.75" customHeight="1" x14ac:dyDescent="0.3">
      <c r="K981" s="6"/>
      <c r="L981" s="6"/>
      <c r="M981" s="6"/>
      <c r="N981" s="6"/>
    </row>
    <row r="982" spans="11:14" ht="15.75" customHeight="1" x14ac:dyDescent="0.3">
      <c r="K982" s="6"/>
      <c r="L982" s="6"/>
      <c r="M982" s="6"/>
      <c r="N982" s="6"/>
    </row>
    <row r="983" spans="11:14" ht="15.75" customHeight="1" x14ac:dyDescent="0.3">
      <c r="K983" s="6"/>
      <c r="L983" s="6"/>
      <c r="M983" s="6"/>
      <c r="N983" s="6"/>
    </row>
    <row r="984" spans="11:14" ht="15.75" customHeight="1" x14ac:dyDescent="0.3">
      <c r="K984" s="6"/>
      <c r="L984" s="6"/>
      <c r="M984" s="6"/>
      <c r="N984" s="6"/>
    </row>
    <row r="985" spans="11:14" ht="15.75" customHeight="1" x14ac:dyDescent="0.3">
      <c r="K985" s="6"/>
      <c r="L985" s="6"/>
      <c r="M985" s="6"/>
      <c r="N985" s="6"/>
    </row>
    <row r="986" spans="11:14" ht="15.75" customHeight="1" x14ac:dyDescent="0.3">
      <c r="K986" s="6"/>
      <c r="L986" s="6"/>
      <c r="M986" s="6"/>
      <c r="N986" s="6"/>
    </row>
    <row r="987" spans="11:14" ht="15.75" customHeight="1" x14ac:dyDescent="0.3">
      <c r="K987" s="6"/>
      <c r="L987" s="6"/>
      <c r="M987" s="6"/>
      <c r="N987" s="6"/>
    </row>
    <row r="988" spans="11:14" ht="15.75" customHeight="1" x14ac:dyDescent="0.3">
      <c r="K988" s="6"/>
      <c r="L988" s="6"/>
      <c r="M988" s="6"/>
      <c r="N988" s="6"/>
    </row>
    <row r="989" spans="11:14" ht="15.75" customHeight="1" x14ac:dyDescent="0.3">
      <c r="K989" s="6"/>
      <c r="L989" s="6"/>
      <c r="M989" s="6"/>
      <c r="N989" s="6"/>
    </row>
    <row r="990" spans="11:14" ht="15.75" customHeight="1" x14ac:dyDescent="0.3">
      <c r="K990" s="6"/>
      <c r="L990" s="6"/>
      <c r="M990" s="6"/>
      <c r="N990" s="6"/>
    </row>
    <row r="991" spans="11:14" ht="15.75" customHeight="1" x14ac:dyDescent="0.3">
      <c r="K991" s="6"/>
      <c r="L991" s="6"/>
      <c r="M991" s="6"/>
      <c r="N991" s="6"/>
    </row>
    <row r="992" spans="11:14" ht="15.75" customHeight="1" x14ac:dyDescent="0.3">
      <c r="K992" s="6"/>
      <c r="L992" s="6"/>
      <c r="M992" s="6"/>
      <c r="N992" s="6"/>
    </row>
    <row r="993" spans="11:14" ht="15.75" customHeight="1" x14ac:dyDescent="0.3">
      <c r="K993" s="6"/>
      <c r="L993" s="6"/>
      <c r="M993" s="6"/>
      <c r="N993" s="6"/>
    </row>
    <row r="994" spans="11:14" ht="15.75" customHeight="1" x14ac:dyDescent="0.3">
      <c r="K994" s="6"/>
      <c r="L994" s="6"/>
      <c r="M994" s="6"/>
      <c r="N994" s="6"/>
    </row>
    <row r="995" spans="11:14" ht="15.75" customHeight="1" x14ac:dyDescent="0.3">
      <c r="K995" s="6"/>
      <c r="L995" s="6"/>
      <c r="M995" s="6"/>
      <c r="N995" s="6"/>
    </row>
    <row r="996" spans="11:14" ht="15.75" customHeight="1" x14ac:dyDescent="0.3">
      <c r="K996" s="6"/>
      <c r="L996" s="6"/>
      <c r="M996" s="6"/>
      <c r="N996" s="6"/>
    </row>
    <row r="997" spans="11:14" ht="15.75" customHeight="1" x14ac:dyDescent="0.3">
      <c r="K997" s="6"/>
      <c r="L997" s="6"/>
      <c r="M997" s="6"/>
      <c r="N997" s="6"/>
    </row>
    <row r="998" spans="11:14" ht="15.75" customHeight="1" x14ac:dyDescent="0.3">
      <c r="K998" s="6"/>
      <c r="L998" s="6"/>
      <c r="M998" s="6"/>
      <c r="N998" s="6"/>
    </row>
    <row r="999" spans="11:14" ht="15.75" customHeight="1" x14ac:dyDescent="0.3">
      <c r="K999" s="6"/>
      <c r="L999" s="6"/>
      <c r="M999" s="6"/>
      <c r="N999" s="6"/>
    </row>
    <row r="1000" spans="11:14" ht="15.75" customHeight="1" x14ac:dyDescent="0.3">
      <c r="K1000" s="6"/>
      <c r="L1000" s="6"/>
      <c r="M1000" s="6"/>
      <c r="N1000" s="6"/>
    </row>
  </sheetData>
  <pageMargins left="0.7" right="0.7" top="0.75" bottom="0.75" header="0" footer="0"/>
  <pageSetup orientation="portrait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0AFB13-AAB7-864C-AE9D-A2D00F981EBD}">
  <dimension ref="A1:S1001"/>
  <sheetViews>
    <sheetView showGridLines="0" tabSelected="1" workbookViewId="0">
      <pane xSplit="3" ySplit="5" topLeftCell="D17" activePane="bottomRight" state="frozen"/>
      <selection pane="topRight" activeCell="D1" sqref="D1"/>
      <selection pane="bottomLeft" activeCell="A6" sqref="A6"/>
      <selection pane="bottomRight" activeCell="O12" sqref="O12"/>
    </sheetView>
  </sheetViews>
  <sheetFormatPr defaultColWidth="14.5" defaultRowHeight="15" customHeight="1" x14ac:dyDescent="0.3"/>
  <cols>
    <col min="1" max="1" width="48.796875" style="4" customWidth="1"/>
    <col min="2" max="2" width="1.296875" style="4" customWidth="1"/>
    <col min="3" max="3" width="1.19921875" style="4" customWidth="1"/>
    <col min="4" max="4" width="9.19921875" style="4" hidden="1" customWidth="1"/>
    <col min="5" max="5" width="9.296875" style="4" hidden="1" customWidth="1"/>
    <col min="6" max="6" width="9.19921875" style="4" hidden="1" customWidth="1"/>
    <col min="7" max="7" width="9.5" style="4" customWidth="1"/>
    <col min="8" max="10" width="9.19921875" style="4" customWidth="1"/>
    <col min="11" max="14" width="10.69921875" style="4" customWidth="1"/>
    <col min="15" max="26" width="8.69921875" style="4" customWidth="1"/>
    <col min="27" max="16384" width="14.5" style="4"/>
  </cols>
  <sheetData>
    <row r="1" spans="1:19" ht="58.5" customHeight="1" x14ac:dyDescent="0.45">
      <c r="A1" s="1" t="s">
        <v>1</v>
      </c>
      <c r="B1" s="2"/>
      <c r="C1" s="2"/>
      <c r="D1" s="3" t="e">
        <f>[1]Basics!B1</f>
        <v>#REF!</v>
      </c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</row>
    <row r="2" spans="1:19" ht="14.4" x14ac:dyDescent="0.3">
      <c r="A2" s="4" t="s">
        <v>2</v>
      </c>
    </row>
    <row r="3" spans="1:19" ht="14.4" x14ac:dyDescent="0.3">
      <c r="A3" s="4" t="s">
        <v>3</v>
      </c>
    </row>
    <row r="4" spans="1:19" ht="14.4" x14ac:dyDescent="0.3">
      <c r="A4" s="5" t="s">
        <v>4</v>
      </c>
      <c r="D4" s="5" t="s">
        <v>5</v>
      </c>
      <c r="E4" s="5" t="s">
        <v>6</v>
      </c>
      <c r="F4" s="5" t="s">
        <v>7</v>
      </c>
      <c r="G4" s="5" t="s">
        <v>8</v>
      </c>
      <c r="H4" s="5" t="s">
        <v>9</v>
      </c>
      <c r="I4" s="5" t="s">
        <v>10</v>
      </c>
      <c r="J4" s="5" t="s">
        <v>11</v>
      </c>
    </row>
    <row r="5" spans="1:19" ht="14.4" x14ac:dyDescent="0.3">
      <c r="A5" s="5" t="s">
        <v>12</v>
      </c>
      <c r="D5" s="5" t="s">
        <v>13</v>
      </c>
      <c r="E5" s="5" t="s">
        <v>14</v>
      </c>
      <c r="F5" s="5" t="s">
        <v>15</v>
      </c>
      <c r="G5" s="5" t="s">
        <v>16</v>
      </c>
      <c r="H5" s="5" t="s">
        <v>17</v>
      </c>
      <c r="I5" s="5" t="s">
        <v>18</v>
      </c>
      <c r="J5" s="5" t="s">
        <v>19</v>
      </c>
    </row>
    <row r="6" spans="1:19" ht="14.4" x14ac:dyDescent="0.3"/>
    <row r="7" spans="1:19" ht="14.4" x14ac:dyDescent="0.3"/>
    <row r="8" spans="1:19" ht="14.4" x14ac:dyDescent="0.3"/>
    <row r="9" spans="1:19" ht="14.4" x14ac:dyDescent="0.3">
      <c r="A9" s="76" t="s">
        <v>231</v>
      </c>
    </row>
    <row r="10" spans="1:19" ht="14.4" x14ac:dyDescent="0.3">
      <c r="A10" s="77" t="s">
        <v>232</v>
      </c>
      <c r="J10" s="29">
        <f>'Balance Sheet'!J45</f>
        <v>11904</v>
      </c>
    </row>
    <row r="11" spans="1:19" ht="14.4" x14ac:dyDescent="0.3">
      <c r="A11" s="77" t="s">
        <v>233</v>
      </c>
      <c r="J11" s="4">
        <f>'Balance Sheet'!J50</f>
        <v>0</v>
      </c>
    </row>
    <row r="12" spans="1:19" ht="14.4" x14ac:dyDescent="0.3">
      <c r="A12" s="77" t="s">
        <v>196</v>
      </c>
      <c r="J12" s="29">
        <f>SUM(J10:J11)</f>
        <v>11904</v>
      </c>
    </row>
    <row r="13" spans="1:19" ht="14.4" x14ac:dyDescent="0.3">
      <c r="A13" s="77" t="s">
        <v>234</v>
      </c>
      <c r="J13" s="78">
        <f>'Cost Driver'!J20</f>
        <v>0.26383265856950067</v>
      </c>
    </row>
    <row r="14" spans="1:19" ht="14.4" x14ac:dyDescent="0.3">
      <c r="D14" s="9" t="s">
        <v>24</v>
      </c>
      <c r="E14" s="9" t="s">
        <v>25</v>
      </c>
      <c r="F14" s="9"/>
    </row>
    <row r="15" spans="1:19" ht="15.6" x14ac:dyDescent="0.3">
      <c r="A15" s="79" t="s">
        <v>235</v>
      </c>
      <c r="D15" s="9"/>
      <c r="E15" s="9" t="s">
        <v>26</v>
      </c>
      <c r="F15" s="9"/>
    </row>
    <row r="16" spans="1:19" ht="14.4" x14ac:dyDescent="0.3">
      <c r="A16" s="4" t="s">
        <v>236</v>
      </c>
      <c r="D16" s="9"/>
      <c r="E16" s="9" t="s">
        <v>27</v>
      </c>
      <c r="F16" s="9"/>
      <c r="J16" s="66">
        <f>7.2%</f>
        <v>7.2000000000000008E-2</v>
      </c>
    </row>
    <row r="17" spans="1:19" ht="14.4" x14ac:dyDescent="0.3">
      <c r="A17" s="4" t="s">
        <v>237</v>
      </c>
      <c r="J17" s="78">
        <v>0.15</v>
      </c>
    </row>
    <row r="18" spans="1:19" ht="14.4" x14ac:dyDescent="0.3">
      <c r="A18" s="4" t="s">
        <v>238</v>
      </c>
      <c r="J18" s="4">
        <v>0.59</v>
      </c>
    </row>
    <row r="19" spans="1:19" ht="14.4" x14ac:dyDescent="0.3">
      <c r="A19" s="4" t="s">
        <v>239</v>
      </c>
      <c r="J19" s="34">
        <f>J16+J18*(J17-J16)</f>
        <v>0.11802</v>
      </c>
    </row>
    <row r="20" spans="1:19" ht="14.4" x14ac:dyDescent="0.3">
      <c r="A20" s="4" t="s">
        <v>240</v>
      </c>
      <c r="J20" s="78">
        <v>0.1</v>
      </c>
    </row>
    <row r="21" spans="1:19" ht="15.75" customHeight="1" x14ac:dyDescent="0.3"/>
    <row r="22" spans="1:19" ht="15.75" customHeight="1" x14ac:dyDescent="0.3"/>
    <row r="23" spans="1:19" ht="15.75" customHeight="1" x14ac:dyDescent="0.3"/>
    <row r="24" spans="1:19" ht="15.75" customHeight="1" x14ac:dyDescent="0.3"/>
    <row r="25" spans="1:19" ht="15.75" customHeight="1" x14ac:dyDescent="0.3"/>
    <row r="26" spans="1:19" ht="15.75" customHeight="1" x14ac:dyDescent="0.3">
      <c r="A26" s="4" t="s">
        <v>241</v>
      </c>
    </row>
    <row r="27" spans="1:19" ht="15.75" customHeight="1" x14ac:dyDescent="0.3"/>
    <row r="28" spans="1:19" ht="15.75" customHeight="1" x14ac:dyDescent="0.3">
      <c r="A28" s="76" t="s">
        <v>12</v>
      </c>
      <c r="B28" s="76"/>
      <c r="C28" s="76"/>
      <c r="D28" s="76"/>
      <c r="E28" s="76"/>
      <c r="F28" s="76"/>
      <c r="G28" s="76">
        <v>0</v>
      </c>
      <c r="H28" s="76">
        <v>1</v>
      </c>
      <c r="I28" s="76">
        <v>2</v>
      </c>
      <c r="J28" s="76">
        <v>3</v>
      </c>
      <c r="K28" s="76">
        <v>4</v>
      </c>
      <c r="L28" s="76">
        <v>5</v>
      </c>
      <c r="M28" s="76">
        <v>6</v>
      </c>
      <c r="N28" s="76">
        <v>7</v>
      </c>
      <c r="O28" s="76">
        <v>8</v>
      </c>
      <c r="P28" s="76">
        <v>9</v>
      </c>
      <c r="Q28" s="76">
        <v>10</v>
      </c>
      <c r="R28" s="76">
        <v>11</v>
      </c>
      <c r="S28" s="76">
        <v>12</v>
      </c>
    </row>
    <row r="29" spans="1:19" ht="15.75" customHeight="1" x14ac:dyDescent="0.3">
      <c r="A29" s="4" t="s">
        <v>215</v>
      </c>
      <c r="H29" s="29">
        <f ca="1">IS!K45</f>
        <v>11527.820895897898</v>
      </c>
      <c r="I29" s="29">
        <f ca="1">IS!L45</f>
        <v>15039.874445471829</v>
      </c>
      <c r="J29" s="29">
        <f ca="1">IS!M45</f>
        <v>19344.63069414307</v>
      </c>
      <c r="K29" s="4">
        <f ca="1">IS!N45</f>
        <v>24633.464874971702</v>
      </c>
    </row>
    <row r="30" spans="1:19" ht="15.75" customHeight="1" x14ac:dyDescent="0.3">
      <c r="A30" s="4" t="s">
        <v>242</v>
      </c>
      <c r="H30" s="29">
        <f>IS!K29</f>
        <v>486.25862068965517</v>
      </c>
      <c r="I30" s="29">
        <f ca="1">IS!L29</f>
        <v>458.12395168476309</v>
      </c>
      <c r="J30" s="29">
        <f ca="1">IS!M29</f>
        <v>483.62743859607912</v>
      </c>
      <c r="K30" s="4">
        <f ca="1">IS!N29</f>
        <v>553.70537577046343</v>
      </c>
    </row>
    <row r="31" spans="1:19" ht="15.75" customHeight="1" x14ac:dyDescent="0.3">
      <c r="A31" s="4" t="s">
        <v>243</v>
      </c>
      <c r="H31" s="29">
        <f ca="1">SUM(CFS!K27:N38)</f>
        <v>856.22745043407349</v>
      </c>
      <c r="I31" s="29">
        <f ca="1">SUM(CFS!L27:O38)</f>
        <v>-5290.1398228269472</v>
      </c>
      <c r="J31" s="29">
        <f ca="1">SUM(CFS!M27:P38)</f>
        <v>-3886.1664127066733</v>
      </c>
      <c r="K31" s="4">
        <f ca="1">SUM(CFS!N27:Q38)</f>
        <v>-2147.5446574955085</v>
      </c>
    </row>
    <row r="32" spans="1:19" ht="15.75" customHeight="1" x14ac:dyDescent="0.3">
      <c r="A32" s="4" t="s">
        <v>211</v>
      </c>
      <c r="H32" s="29">
        <f ca="1">CFS!K45</f>
        <v>408.55334439042934</v>
      </c>
      <c r="I32" s="29">
        <f ca="1">CFS!L45</f>
        <v>528.56215363030265</v>
      </c>
      <c r="J32" s="29">
        <f ca="1">CFS!M45</f>
        <v>677.17602698247401</v>
      </c>
      <c r="K32" s="4">
        <f ca="1">CFS!N45</f>
        <v>860.74380346437283</v>
      </c>
    </row>
    <row r="33" spans="1:19" ht="15.75" customHeight="1" x14ac:dyDescent="0.3">
      <c r="A33" s="4" t="s">
        <v>244</v>
      </c>
      <c r="H33" s="4">
        <f>0</f>
        <v>0</v>
      </c>
      <c r="I33" s="4">
        <f>0</f>
        <v>0</v>
      </c>
      <c r="J33" s="4">
        <f>0</f>
        <v>0</v>
      </c>
      <c r="K33" s="4">
        <f>0</f>
        <v>0</v>
      </c>
    </row>
    <row r="34" spans="1:19" ht="15.75" customHeight="1" x14ac:dyDescent="0.3">
      <c r="A34" s="9" t="s">
        <v>245</v>
      </c>
      <c r="H34" s="29">
        <f ca="1">SUM(H29:H33)</f>
        <v>13278.860311412056</v>
      </c>
      <c r="I34" s="29">
        <f t="shared" ref="I34:K34" ca="1" si="0">SUM(I29:I33)</f>
        <v>10736.420727959949</v>
      </c>
      <c r="J34" s="29">
        <f t="shared" ca="1" si="0"/>
        <v>16619.26774701495</v>
      </c>
      <c r="K34" s="29">
        <f t="shared" ca="1" si="0"/>
        <v>23900.36939671103</v>
      </c>
      <c r="L34" s="29">
        <f ca="1">K34*(1+L36)</f>
        <v>34371.409498582841</v>
      </c>
      <c r="M34" s="29">
        <f t="shared" ref="M34:S34" ca="1" si="1">L34*(1+M36)</f>
        <v>49429.938563286159</v>
      </c>
      <c r="N34" s="29">
        <f t="shared" ca="1" si="1"/>
        <v>71085.790836450396</v>
      </c>
      <c r="O34" s="29">
        <f t="shared" ca="1" si="1"/>
        <v>102229.33318789933</v>
      </c>
      <c r="P34" s="29">
        <f t="shared" ca="1" si="1"/>
        <v>147017.23707466584</v>
      </c>
      <c r="Q34" s="29">
        <f t="shared" ca="1" si="1"/>
        <v>211427.26185390897</v>
      </c>
      <c r="R34" s="29">
        <f t="shared" ca="1" si="1"/>
        <v>304056.09535661992</v>
      </c>
      <c r="S34" s="29">
        <f t="shared" ca="1" si="1"/>
        <v>437266.73803965113</v>
      </c>
    </row>
    <row r="35" spans="1:19" ht="15.75" customHeight="1" x14ac:dyDescent="0.3">
      <c r="A35" s="9" t="s">
        <v>247</v>
      </c>
      <c r="H35" s="29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4">
        <f ca="1">S34*(1+J20)/(J19-J20)</f>
        <v>26692198.215517007</v>
      </c>
    </row>
    <row r="36" spans="1:19" ht="15.75" customHeight="1" x14ac:dyDescent="0.3">
      <c r="J36" s="34">
        <f ca="1">J34/I34-1</f>
        <v>0.54793372652906602</v>
      </c>
      <c r="K36" s="34">
        <f ca="1">K34/J34-1</f>
        <v>0.43811206128524316</v>
      </c>
      <c r="L36" s="34">
        <f ca="1">K36</f>
        <v>0.43811206128524316</v>
      </c>
      <c r="M36" s="34">
        <f t="shared" ref="M36:S36" ca="1" si="2">L36</f>
        <v>0.43811206128524316</v>
      </c>
      <c r="N36" s="34">
        <f t="shared" ca="1" si="2"/>
        <v>0.43811206128524316</v>
      </c>
      <c r="O36" s="34">
        <f t="shared" ca="1" si="2"/>
        <v>0.43811206128524316</v>
      </c>
      <c r="P36" s="34">
        <f t="shared" ca="1" si="2"/>
        <v>0.43811206128524316</v>
      </c>
      <c r="Q36" s="34">
        <f t="shared" ca="1" si="2"/>
        <v>0.43811206128524316</v>
      </c>
      <c r="R36" s="34">
        <f t="shared" ca="1" si="2"/>
        <v>0.43811206128524316</v>
      </c>
      <c r="S36" s="34">
        <f t="shared" ca="1" si="2"/>
        <v>0.43811206128524316</v>
      </c>
    </row>
    <row r="37" spans="1:19" ht="15.75" customHeight="1" x14ac:dyDescent="0.3"/>
    <row r="38" spans="1:19" ht="15.75" customHeight="1" x14ac:dyDescent="0.3">
      <c r="A38" s="4" t="s">
        <v>246</v>
      </c>
    </row>
    <row r="39" spans="1:19" ht="15.75" customHeight="1" x14ac:dyDescent="0.3">
      <c r="A39" s="9" t="s">
        <v>248</v>
      </c>
      <c r="H39" s="29">
        <f ca="1">SUM(H34:H35)/(1+$J$20)^H28</f>
        <v>12071.691192192777</v>
      </c>
      <c r="I39" s="29">
        <f t="shared" ref="I39:S39" ca="1" si="3">SUM(I34:I35)/(1+$J$20)^I28</f>
        <v>8873.074981785081</v>
      </c>
      <c r="J39" s="29">
        <f t="shared" ca="1" si="3"/>
        <v>12486.301838478546</v>
      </c>
      <c r="K39" s="29">
        <f t="shared" ca="1" si="3"/>
        <v>16324.273886149187</v>
      </c>
      <c r="L39" s="29">
        <f t="shared" ca="1" si="3"/>
        <v>21341.941061268062</v>
      </c>
      <c r="M39" s="29">
        <f t="shared" ca="1" si="3"/>
        <v>27901.911683134895</v>
      </c>
      <c r="N39" s="29">
        <f t="shared" ca="1" si="3"/>
        <v>36478.250658574478</v>
      </c>
      <c r="O39" s="29">
        <f t="shared" ca="1" si="3"/>
        <v>47690.738406074845</v>
      </c>
      <c r="P39" s="29">
        <f t="shared" ca="1" si="3"/>
        <v>62349.660103068738</v>
      </c>
      <c r="Q39" s="29">
        <f t="shared" ca="1" si="3"/>
        <v>81514.362010234967</v>
      </c>
      <c r="R39" s="29">
        <f t="shared" ca="1" si="3"/>
        <v>106569.80652262774</v>
      </c>
      <c r="S39" s="29">
        <f t="shared" ca="1" si="3"/>
        <v>8644283.6021962184</v>
      </c>
    </row>
    <row r="40" spans="1:19" ht="15.75" customHeight="1" x14ac:dyDescent="0.3">
      <c r="A40" s="4" t="s">
        <v>249</v>
      </c>
      <c r="H40" s="29">
        <f ca="1">SUM(H39:S39)</f>
        <v>9077885.6145398077</v>
      </c>
    </row>
    <row r="41" spans="1:19" ht="15.75" customHeight="1" x14ac:dyDescent="0.3">
      <c r="A41" s="4" t="s">
        <v>250</v>
      </c>
      <c r="H41" s="29">
        <f>IS!J53</f>
        <v>118.57901184156799</v>
      </c>
    </row>
    <row r="42" spans="1:19" ht="15.75" customHeight="1" x14ac:dyDescent="0.3">
      <c r="A42" s="4" t="s">
        <v>251</v>
      </c>
      <c r="H42" s="80">
        <f ca="1">H40/H41</f>
        <v>76555.584951818135</v>
      </c>
      <c r="I42" s="4" t="s">
        <v>253</v>
      </c>
    </row>
    <row r="43" spans="1:19" ht="15.75" customHeight="1" x14ac:dyDescent="0.3">
      <c r="A43" s="4" t="s">
        <v>252</v>
      </c>
      <c r="H43" s="4">
        <v>3880</v>
      </c>
      <c r="I43" s="4" t="s">
        <v>254</v>
      </c>
    </row>
    <row r="44" spans="1:19" ht="15.75" customHeight="1" x14ac:dyDescent="0.3">
      <c r="H44" s="81">
        <f ca="1">(H42/H43)-1</f>
        <v>18.730820863870655</v>
      </c>
    </row>
    <row r="45" spans="1:19" ht="15.75" customHeight="1" x14ac:dyDescent="0.3"/>
    <row r="46" spans="1:19" ht="15.75" customHeight="1" x14ac:dyDescent="0.3"/>
    <row r="47" spans="1:19" ht="15.75" customHeight="1" x14ac:dyDescent="0.3"/>
    <row r="48" spans="1:19" ht="15.75" customHeight="1" x14ac:dyDescent="0.3"/>
    <row r="49" ht="15.75" customHeight="1" x14ac:dyDescent="0.3"/>
    <row r="50" ht="15.75" customHeight="1" x14ac:dyDescent="0.3"/>
    <row r="51" ht="15.75" customHeight="1" x14ac:dyDescent="0.3"/>
    <row r="52" ht="15.75" customHeight="1" x14ac:dyDescent="0.3"/>
    <row r="53" ht="15.75" customHeight="1" x14ac:dyDescent="0.3"/>
    <row r="54" ht="15.75" customHeight="1" x14ac:dyDescent="0.3"/>
    <row r="55" ht="15.75" customHeight="1" x14ac:dyDescent="0.3"/>
    <row r="56" ht="15.75" customHeight="1" x14ac:dyDescent="0.3"/>
    <row r="57" ht="15.75" customHeight="1" x14ac:dyDescent="0.3"/>
    <row r="58" ht="15.75" customHeight="1" x14ac:dyDescent="0.3"/>
    <row r="59" ht="15.75" customHeight="1" x14ac:dyDescent="0.3"/>
    <row r="60" ht="15.75" customHeight="1" x14ac:dyDescent="0.3"/>
    <row r="61" ht="15.75" customHeight="1" x14ac:dyDescent="0.3"/>
    <row r="62" ht="15.75" customHeight="1" x14ac:dyDescent="0.3"/>
    <row r="63" ht="15.75" customHeight="1" x14ac:dyDescent="0.3"/>
    <row r="64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spans="11:14" ht="15.75" customHeight="1" x14ac:dyDescent="0.3"/>
    <row r="178" spans="11:14" ht="15.75" customHeight="1" x14ac:dyDescent="0.3"/>
    <row r="179" spans="11:14" ht="15.75" customHeight="1" x14ac:dyDescent="0.3"/>
    <row r="180" spans="11:14" ht="15.75" customHeight="1" x14ac:dyDescent="0.3"/>
    <row r="181" spans="11:14" ht="15.75" customHeight="1" x14ac:dyDescent="0.3"/>
    <row r="182" spans="11:14" ht="15.75" customHeight="1" x14ac:dyDescent="0.3"/>
    <row r="183" spans="11:14" ht="15.75" customHeight="1" x14ac:dyDescent="0.3"/>
    <row r="184" spans="11:14" ht="15.75" customHeight="1" x14ac:dyDescent="0.3">
      <c r="K184" s="8"/>
      <c r="L184" s="8"/>
      <c r="M184" s="8"/>
      <c r="N184" s="8"/>
    </row>
    <row r="185" spans="11:14" ht="15.75" customHeight="1" x14ac:dyDescent="0.3">
      <c r="K185" s="8"/>
      <c r="L185" s="8"/>
      <c r="M185" s="8"/>
      <c r="N185" s="8"/>
    </row>
    <row r="186" spans="11:14" ht="15.75" customHeight="1" x14ac:dyDescent="0.3">
      <c r="K186" s="8"/>
      <c r="L186" s="8"/>
      <c r="M186" s="8"/>
      <c r="N186" s="8"/>
    </row>
    <row r="187" spans="11:14" ht="15.75" customHeight="1" x14ac:dyDescent="0.3">
      <c r="K187" s="8"/>
      <c r="L187" s="8"/>
      <c r="M187" s="8"/>
      <c r="N187" s="8"/>
    </row>
    <row r="188" spans="11:14" ht="15.75" customHeight="1" x14ac:dyDescent="0.3">
      <c r="K188" s="8"/>
      <c r="L188" s="8"/>
      <c r="M188" s="8"/>
      <c r="N188" s="8"/>
    </row>
    <row r="189" spans="11:14" ht="15.75" customHeight="1" x14ac:dyDescent="0.3">
      <c r="K189" s="8"/>
      <c r="L189" s="8"/>
      <c r="M189" s="8"/>
      <c r="N189" s="8"/>
    </row>
    <row r="190" spans="11:14" ht="15.75" customHeight="1" x14ac:dyDescent="0.3">
      <c r="K190" s="8"/>
      <c r="L190" s="8"/>
      <c r="M190" s="8"/>
      <c r="N190" s="8"/>
    </row>
    <row r="191" spans="11:14" ht="15.75" customHeight="1" x14ac:dyDescent="0.3">
      <c r="K191" s="8"/>
      <c r="L191" s="8"/>
      <c r="M191" s="8"/>
      <c r="N191" s="8"/>
    </row>
    <row r="192" spans="11:14" ht="15.75" customHeight="1" x14ac:dyDescent="0.3">
      <c r="K192" s="8"/>
      <c r="L192" s="8"/>
      <c r="M192" s="8"/>
      <c r="N192" s="8"/>
    </row>
    <row r="193" spans="11:14" ht="15.75" customHeight="1" x14ac:dyDescent="0.3">
      <c r="K193" s="8"/>
      <c r="L193" s="8"/>
      <c r="M193" s="8"/>
      <c r="N193" s="8"/>
    </row>
    <row r="194" spans="11:14" ht="15.75" customHeight="1" x14ac:dyDescent="0.3">
      <c r="K194" s="8"/>
      <c r="L194" s="8"/>
      <c r="M194" s="8"/>
      <c r="N194" s="8"/>
    </row>
    <row r="195" spans="11:14" ht="15.75" customHeight="1" x14ac:dyDescent="0.3">
      <c r="K195" s="8"/>
      <c r="L195" s="8"/>
      <c r="M195" s="8"/>
      <c r="N195" s="8"/>
    </row>
    <row r="196" spans="11:14" ht="15.75" customHeight="1" x14ac:dyDescent="0.3">
      <c r="K196" s="8"/>
      <c r="L196" s="8"/>
      <c r="M196" s="8"/>
      <c r="N196" s="8"/>
    </row>
    <row r="197" spans="11:14" ht="15.75" customHeight="1" x14ac:dyDescent="0.3">
      <c r="K197" s="8"/>
      <c r="L197" s="8"/>
      <c r="M197" s="8"/>
      <c r="N197" s="8"/>
    </row>
    <row r="198" spans="11:14" ht="15.75" customHeight="1" x14ac:dyDescent="0.3">
      <c r="K198" s="8"/>
      <c r="L198" s="8"/>
      <c r="M198" s="8"/>
      <c r="N198" s="8"/>
    </row>
    <row r="199" spans="11:14" ht="15.75" customHeight="1" x14ac:dyDescent="0.3">
      <c r="K199" s="8"/>
      <c r="L199" s="8"/>
      <c r="M199" s="8"/>
      <c r="N199" s="8"/>
    </row>
    <row r="200" spans="11:14" ht="15.75" customHeight="1" x14ac:dyDescent="0.3">
      <c r="K200" s="8"/>
      <c r="L200" s="8"/>
      <c r="M200" s="8"/>
      <c r="N200" s="8"/>
    </row>
    <row r="201" spans="11:14" ht="15.75" customHeight="1" x14ac:dyDescent="0.3">
      <c r="K201" s="8"/>
      <c r="L201" s="8"/>
      <c r="M201" s="8"/>
      <c r="N201" s="8"/>
    </row>
    <row r="202" spans="11:14" ht="15.75" customHeight="1" x14ac:dyDescent="0.3">
      <c r="K202" s="8"/>
      <c r="L202" s="8"/>
      <c r="M202" s="8"/>
      <c r="N202" s="8"/>
    </row>
    <row r="203" spans="11:14" ht="15.75" customHeight="1" x14ac:dyDescent="0.3">
      <c r="K203" s="8"/>
      <c r="L203" s="8"/>
      <c r="M203" s="8"/>
      <c r="N203" s="8"/>
    </row>
    <row r="204" spans="11:14" ht="15.75" customHeight="1" x14ac:dyDescent="0.3">
      <c r="K204" s="8"/>
      <c r="L204" s="8"/>
      <c r="M204" s="8"/>
      <c r="N204" s="8"/>
    </row>
    <row r="205" spans="11:14" ht="15.75" customHeight="1" x14ac:dyDescent="0.3">
      <c r="K205" s="8"/>
      <c r="L205" s="8"/>
      <c r="M205" s="8"/>
      <c r="N205" s="8"/>
    </row>
    <row r="206" spans="11:14" ht="15.75" customHeight="1" x14ac:dyDescent="0.3">
      <c r="K206" s="8"/>
      <c r="L206" s="8"/>
      <c r="M206" s="8"/>
      <c r="N206" s="8"/>
    </row>
    <row r="207" spans="11:14" ht="15.75" customHeight="1" x14ac:dyDescent="0.3">
      <c r="K207" s="8"/>
      <c r="L207" s="8"/>
      <c r="M207" s="8"/>
      <c r="N207" s="8"/>
    </row>
    <row r="208" spans="11:14" ht="15.75" customHeight="1" x14ac:dyDescent="0.3">
      <c r="K208" s="8"/>
      <c r="L208" s="8"/>
      <c r="M208" s="8"/>
      <c r="N208" s="8"/>
    </row>
    <row r="209" spans="11:14" ht="15.75" customHeight="1" x14ac:dyDescent="0.3">
      <c r="K209" s="8"/>
      <c r="L209" s="8"/>
      <c r="M209" s="8"/>
      <c r="N209" s="8"/>
    </row>
    <row r="210" spans="11:14" ht="15.75" customHeight="1" x14ac:dyDescent="0.3">
      <c r="K210" s="8"/>
      <c r="L210" s="8"/>
      <c r="M210" s="8"/>
      <c r="N210" s="8"/>
    </row>
    <row r="211" spans="11:14" ht="15.75" customHeight="1" x14ac:dyDescent="0.3">
      <c r="K211" s="8"/>
      <c r="L211" s="8"/>
      <c r="M211" s="8"/>
      <c r="N211" s="8"/>
    </row>
    <row r="212" spans="11:14" ht="15.75" customHeight="1" x14ac:dyDescent="0.3">
      <c r="K212" s="8"/>
      <c r="L212" s="8"/>
      <c r="M212" s="8"/>
      <c r="N212" s="8"/>
    </row>
    <row r="213" spans="11:14" ht="15.75" customHeight="1" x14ac:dyDescent="0.3">
      <c r="K213" s="8"/>
      <c r="L213" s="8"/>
      <c r="M213" s="8"/>
      <c r="N213" s="8"/>
    </row>
    <row r="214" spans="11:14" ht="15.75" customHeight="1" x14ac:dyDescent="0.3">
      <c r="K214" s="8"/>
      <c r="L214" s="8"/>
      <c r="M214" s="8"/>
      <c r="N214" s="8"/>
    </row>
    <row r="215" spans="11:14" ht="15.75" customHeight="1" x14ac:dyDescent="0.3">
      <c r="K215" s="8"/>
      <c r="L215" s="8"/>
      <c r="M215" s="8"/>
      <c r="N215" s="8"/>
    </row>
    <row r="216" spans="11:14" ht="15.75" customHeight="1" x14ac:dyDescent="0.3">
      <c r="K216" s="8"/>
      <c r="L216" s="8"/>
      <c r="M216" s="8"/>
      <c r="N216" s="8"/>
    </row>
    <row r="217" spans="11:14" ht="15.75" customHeight="1" x14ac:dyDescent="0.3">
      <c r="K217" s="8"/>
      <c r="L217" s="8"/>
      <c r="M217" s="8"/>
      <c r="N217" s="8"/>
    </row>
    <row r="218" spans="11:14" ht="15.75" customHeight="1" x14ac:dyDescent="0.3">
      <c r="K218" s="8"/>
      <c r="L218" s="8"/>
      <c r="M218" s="8"/>
      <c r="N218" s="8"/>
    </row>
    <row r="219" spans="11:14" ht="15.75" customHeight="1" x14ac:dyDescent="0.3">
      <c r="K219" s="8"/>
      <c r="L219" s="8"/>
      <c r="M219" s="8"/>
      <c r="N219" s="8"/>
    </row>
    <row r="220" spans="11:14" ht="15.75" customHeight="1" x14ac:dyDescent="0.3">
      <c r="K220" s="8"/>
      <c r="L220" s="8"/>
      <c r="M220" s="8"/>
      <c r="N220" s="8"/>
    </row>
    <row r="221" spans="11:14" ht="15.75" customHeight="1" x14ac:dyDescent="0.3">
      <c r="K221" s="8"/>
      <c r="L221" s="8"/>
      <c r="M221" s="8"/>
      <c r="N221" s="8"/>
    </row>
    <row r="222" spans="11:14" ht="15.75" customHeight="1" x14ac:dyDescent="0.3">
      <c r="K222" s="8"/>
      <c r="L222" s="8"/>
      <c r="M222" s="8"/>
      <c r="N222" s="8"/>
    </row>
    <row r="223" spans="11:14" ht="15.75" customHeight="1" x14ac:dyDescent="0.3">
      <c r="K223" s="8"/>
      <c r="L223" s="8"/>
      <c r="M223" s="8"/>
      <c r="N223" s="8"/>
    </row>
    <row r="224" spans="11:14" ht="15.75" customHeight="1" x14ac:dyDescent="0.3">
      <c r="K224" s="8"/>
      <c r="L224" s="8"/>
      <c r="M224" s="8"/>
      <c r="N224" s="8"/>
    </row>
    <row r="225" spans="11:14" ht="15.75" customHeight="1" x14ac:dyDescent="0.3">
      <c r="K225" s="8"/>
      <c r="L225" s="8"/>
      <c r="M225" s="8"/>
      <c r="N225" s="8"/>
    </row>
    <row r="226" spans="11:14" ht="15.75" customHeight="1" x14ac:dyDescent="0.3">
      <c r="K226" s="8"/>
      <c r="L226" s="8"/>
      <c r="M226" s="8"/>
      <c r="N226" s="8"/>
    </row>
    <row r="227" spans="11:14" ht="15.75" customHeight="1" x14ac:dyDescent="0.3">
      <c r="K227" s="8"/>
      <c r="L227" s="8"/>
      <c r="M227" s="8"/>
      <c r="N227" s="8"/>
    </row>
    <row r="228" spans="11:14" ht="15.75" customHeight="1" x14ac:dyDescent="0.3">
      <c r="K228" s="8"/>
      <c r="L228" s="8"/>
      <c r="M228" s="8"/>
      <c r="N228" s="8"/>
    </row>
    <row r="229" spans="11:14" ht="15.75" customHeight="1" x14ac:dyDescent="0.3">
      <c r="K229" s="8"/>
      <c r="L229" s="8"/>
      <c r="M229" s="8"/>
      <c r="N229" s="8"/>
    </row>
    <row r="230" spans="11:14" ht="15.75" customHeight="1" x14ac:dyDescent="0.3">
      <c r="K230" s="8"/>
      <c r="L230" s="8"/>
      <c r="M230" s="8"/>
      <c r="N230" s="8"/>
    </row>
    <row r="231" spans="11:14" ht="15.75" customHeight="1" x14ac:dyDescent="0.3">
      <c r="K231" s="8"/>
      <c r="L231" s="8"/>
      <c r="M231" s="8"/>
      <c r="N231" s="8"/>
    </row>
    <row r="232" spans="11:14" ht="15.75" customHeight="1" x14ac:dyDescent="0.3">
      <c r="K232" s="8"/>
      <c r="L232" s="8"/>
      <c r="M232" s="8"/>
      <c r="N232" s="8"/>
    </row>
    <row r="233" spans="11:14" ht="15.75" customHeight="1" x14ac:dyDescent="0.3">
      <c r="K233" s="8"/>
      <c r="L233" s="8"/>
      <c r="M233" s="8"/>
      <c r="N233" s="8"/>
    </row>
    <row r="234" spans="11:14" ht="15.75" customHeight="1" x14ac:dyDescent="0.3">
      <c r="K234" s="8"/>
      <c r="L234" s="8"/>
      <c r="M234" s="8"/>
      <c r="N234" s="8"/>
    </row>
    <row r="235" spans="11:14" ht="15.75" customHeight="1" x14ac:dyDescent="0.3">
      <c r="K235" s="8"/>
      <c r="L235" s="8"/>
      <c r="M235" s="8"/>
      <c r="N235" s="8"/>
    </row>
    <row r="236" spans="11:14" ht="15.75" customHeight="1" x14ac:dyDescent="0.3">
      <c r="K236" s="8"/>
      <c r="L236" s="8"/>
      <c r="M236" s="8"/>
      <c r="N236" s="8"/>
    </row>
    <row r="237" spans="11:14" ht="15.75" customHeight="1" x14ac:dyDescent="0.3">
      <c r="K237" s="8"/>
      <c r="L237" s="8"/>
      <c r="M237" s="8"/>
      <c r="N237" s="8"/>
    </row>
    <row r="238" spans="11:14" ht="15.75" customHeight="1" x14ac:dyDescent="0.3">
      <c r="K238" s="8"/>
      <c r="L238" s="8"/>
      <c r="M238" s="8"/>
      <c r="N238" s="8"/>
    </row>
    <row r="239" spans="11:14" ht="15.75" customHeight="1" x14ac:dyDescent="0.3">
      <c r="K239" s="8"/>
      <c r="L239" s="8"/>
      <c r="M239" s="8"/>
      <c r="N239" s="8"/>
    </row>
    <row r="240" spans="11:14" ht="15.75" customHeight="1" x14ac:dyDescent="0.3">
      <c r="K240" s="8"/>
      <c r="L240" s="8"/>
      <c r="M240" s="8"/>
      <c r="N240" s="8"/>
    </row>
    <row r="241" spans="11:14" ht="15.75" customHeight="1" x14ac:dyDescent="0.3">
      <c r="K241" s="8"/>
      <c r="L241" s="8"/>
      <c r="M241" s="8"/>
      <c r="N241" s="8"/>
    </row>
    <row r="242" spans="11:14" ht="15.75" customHeight="1" x14ac:dyDescent="0.3">
      <c r="K242" s="8"/>
      <c r="L242" s="8"/>
      <c r="M242" s="8"/>
      <c r="N242" s="8"/>
    </row>
    <row r="243" spans="11:14" ht="15.75" customHeight="1" x14ac:dyDescent="0.3">
      <c r="K243" s="8"/>
      <c r="L243" s="8"/>
      <c r="M243" s="8"/>
      <c r="N243" s="8"/>
    </row>
    <row r="244" spans="11:14" ht="15.75" customHeight="1" x14ac:dyDescent="0.3">
      <c r="K244" s="8"/>
      <c r="L244" s="8"/>
      <c r="M244" s="8"/>
      <c r="N244" s="8"/>
    </row>
    <row r="245" spans="11:14" ht="15.75" customHeight="1" x14ac:dyDescent="0.3">
      <c r="K245" s="8"/>
      <c r="L245" s="8"/>
      <c r="M245" s="8"/>
      <c r="N245" s="8"/>
    </row>
    <row r="246" spans="11:14" ht="15.75" customHeight="1" x14ac:dyDescent="0.3">
      <c r="K246" s="8"/>
      <c r="L246" s="8"/>
      <c r="M246" s="8"/>
      <c r="N246" s="8"/>
    </row>
    <row r="247" spans="11:14" ht="15.75" customHeight="1" x14ac:dyDescent="0.3">
      <c r="K247" s="8"/>
      <c r="L247" s="8"/>
      <c r="M247" s="8"/>
      <c r="N247" s="8"/>
    </row>
    <row r="248" spans="11:14" ht="15.75" customHeight="1" x14ac:dyDescent="0.3">
      <c r="K248" s="8"/>
      <c r="L248" s="8"/>
      <c r="M248" s="8"/>
      <c r="N248" s="8"/>
    </row>
    <row r="249" spans="11:14" ht="15.75" customHeight="1" x14ac:dyDescent="0.3">
      <c r="K249" s="8"/>
      <c r="L249" s="8"/>
      <c r="M249" s="8"/>
      <c r="N249" s="8"/>
    </row>
    <row r="250" spans="11:14" ht="15.75" customHeight="1" x14ac:dyDescent="0.3">
      <c r="K250" s="8"/>
      <c r="L250" s="8"/>
      <c r="M250" s="8"/>
      <c r="N250" s="8"/>
    </row>
    <row r="251" spans="11:14" ht="15.75" customHeight="1" x14ac:dyDescent="0.3">
      <c r="K251" s="8"/>
      <c r="L251" s="8"/>
      <c r="M251" s="8"/>
      <c r="N251" s="8"/>
    </row>
    <row r="252" spans="11:14" ht="15.75" customHeight="1" x14ac:dyDescent="0.3">
      <c r="K252" s="8"/>
      <c r="L252" s="8"/>
      <c r="M252" s="8"/>
      <c r="N252" s="8"/>
    </row>
    <row r="253" spans="11:14" ht="15.75" customHeight="1" x14ac:dyDescent="0.3">
      <c r="K253" s="8"/>
      <c r="L253" s="8"/>
      <c r="M253" s="8"/>
      <c r="N253" s="8"/>
    </row>
    <row r="254" spans="11:14" ht="15.75" customHeight="1" x14ac:dyDescent="0.3">
      <c r="K254" s="8"/>
      <c r="L254" s="8"/>
      <c r="M254" s="8"/>
      <c r="N254" s="8"/>
    </row>
    <row r="255" spans="11:14" ht="15.75" customHeight="1" x14ac:dyDescent="0.3">
      <c r="K255" s="8"/>
      <c r="L255" s="8"/>
      <c r="M255" s="8"/>
      <c r="N255" s="8"/>
    </row>
    <row r="256" spans="11:14" ht="15.75" customHeight="1" x14ac:dyDescent="0.3">
      <c r="K256" s="8"/>
      <c r="L256" s="8"/>
      <c r="M256" s="8"/>
      <c r="N256" s="8"/>
    </row>
    <row r="257" spans="11:14" ht="15.75" customHeight="1" x14ac:dyDescent="0.3">
      <c r="K257" s="8"/>
      <c r="L257" s="8"/>
      <c r="M257" s="8"/>
      <c r="N257" s="8"/>
    </row>
    <row r="258" spans="11:14" ht="15.75" customHeight="1" x14ac:dyDescent="0.3">
      <c r="K258" s="8"/>
      <c r="L258" s="8"/>
      <c r="M258" s="8"/>
      <c r="N258" s="8"/>
    </row>
    <row r="259" spans="11:14" ht="15.75" customHeight="1" x14ac:dyDescent="0.3">
      <c r="K259" s="8"/>
      <c r="L259" s="8"/>
      <c r="M259" s="8"/>
      <c r="N259" s="8"/>
    </row>
    <row r="260" spans="11:14" ht="15.75" customHeight="1" x14ac:dyDescent="0.3">
      <c r="K260" s="8"/>
      <c r="L260" s="8"/>
      <c r="M260" s="8"/>
      <c r="N260" s="8"/>
    </row>
    <row r="261" spans="11:14" ht="15.75" customHeight="1" x14ac:dyDescent="0.3">
      <c r="K261" s="8"/>
      <c r="L261" s="8"/>
      <c r="M261" s="8"/>
      <c r="N261" s="8"/>
    </row>
    <row r="262" spans="11:14" ht="15.75" customHeight="1" x14ac:dyDescent="0.3">
      <c r="K262" s="8"/>
      <c r="L262" s="8"/>
      <c r="M262" s="8"/>
      <c r="N262" s="8"/>
    </row>
    <row r="263" spans="11:14" ht="15.75" customHeight="1" x14ac:dyDescent="0.3">
      <c r="K263" s="8"/>
      <c r="L263" s="8"/>
      <c r="M263" s="8"/>
      <c r="N263" s="8"/>
    </row>
    <row r="264" spans="11:14" ht="15.75" customHeight="1" x14ac:dyDescent="0.3">
      <c r="K264" s="8"/>
      <c r="L264" s="8"/>
      <c r="M264" s="8"/>
      <c r="N264" s="8"/>
    </row>
    <row r="265" spans="11:14" ht="15.75" customHeight="1" x14ac:dyDescent="0.3">
      <c r="K265" s="8"/>
      <c r="L265" s="8"/>
      <c r="M265" s="8"/>
      <c r="N265" s="8"/>
    </row>
    <row r="266" spans="11:14" ht="15.75" customHeight="1" x14ac:dyDescent="0.3">
      <c r="K266" s="8"/>
      <c r="L266" s="8"/>
      <c r="M266" s="8"/>
      <c r="N266" s="8"/>
    </row>
    <row r="267" spans="11:14" ht="15.75" customHeight="1" x14ac:dyDescent="0.3">
      <c r="K267" s="8"/>
      <c r="L267" s="8"/>
      <c r="M267" s="8"/>
      <c r="N267" s="8"/>
    </row>
    <row r="268" spans="11:14" ht="15.75" customHeight="1" x14ac:dyDescent="0.3">
      <c r="K268" s="8"/>
      <c r="L268" s="8"/>
      <c r="M268" s="8"/>
      <c r="N268" s="8"/>
    </row>
    <row r="269" spans="11:14" ht="15.75" customHeight="1" x14ac:dyDescent="0.3">
      <c r="K269" s="8"/>
      <c r="L269" s="8"/>
      <c r="M269" s="8"/>
      <c r="N269" s="8"/>
    </row>
    <row r="270" spans="11:14" ht="15.75" customHeight="1" x14ac:dyDescent="0.3">
      <c r="K270" s="8"/>
      <c r="L270" s="8"/>
      <c r="M270" s="8"/>
      <c r="N270" s="8"/>
    </row>
    <row r="271" spans="11:14" ht="15.75" customHeight="1" x14ac:dyDescent="0.3">
      <c r="K271" s="8"/>
      <c r="L271" s="8"/>
      <c r="M271" s="8"/>
      <c r="N271" s="8"/>
    </row>
    <row r="272" spans="11:14" ht="15.75" customHeight="1" x14ac:dyDescent="0.3">
      <c r="K272" s="8"/>
      <c r="L272" s="8"/>
      <c r="M272" s="8"/>
      <c r="N272" s="8"/>
    </row>
    <row r="273" spans="11:14" ht="15.75" customHeight="1" x14ac:dyDescent="0.3">
      <c r="K273" s="8"/>
      <c r="L273" s="8"/>
      <c r="M273" s="8"/>
      <c r="N273" s="8"/>
    </row>
    <row r="274" spans="11:14" ht="15.75" customHeight="1" x14ac:dyDescent="0.3">
      <c r="K274" s="8"/>
      <c r="L274" s="8"/>
      <c r="M274" s="8"/>
      <c r="N274" s="8"/>
    </row>
    <row r="275" spans="11:14" ht="15.75" customHeight="1" x14ac:dyDescent="0.3">
      <c r="K275" s="8"/>
      <c r="L275" s="8"/>
      <c r="M275" s="8"/>
      <c r="N275" s="8"/>
    </row>
    <row r="276" spans="11:14" ht="15.75" customHeight="1" x14ac:dyDescent="0.3">
      <c r="K276" s="8"/>
      <c r="L276" s="8"/>
      <c r="M276" s="8"/>
      <c r="N276" s="8"/>
    </row>
    <row r="277" spans="11:14" ht="15.75" customHeight="1" x14ac:dyDescent="0.3">
      <c r="K277" s="8"/>
      <c r="L277" s="8"/>
      <c r="M277" s="8"/>
      <c r="N277" s="8"/>
    </row>
    <row r="278" spans="11:14" ht="15.75" customHeight="1" x14ac:dyDescent="0.3">
      <c r="K278" s="8"/>
      <c r="L278" s="8"/>
      <c r="M278" s="8"/>
      <c r="N278" s="8"/>
    </row>
    <row r="279" spans="11:14" ht="15.75" customHeight="1" x14ac:dyDescent="0.3">
      <c r="K279" s="8"/>
      <c r="L279" s="8"/>
      <c r="M279" s="8"/>
      <c r="N279" s="8"/>
    </row>
    <row r="280" spans="11:14" ht="15.75" customHeight="1" x14ac:dyDescent="0.3">
      <c r="K280" s="8"/>
      <c r="L280" s="8"/>
      <c r="M280" s="8"/>
      <c r="N280" s="8"/>
    </row>
    <row r="281" spans="11:14" ht="15.75" customHeight="1" x14ac:dyDescent="0.3">
      <c r="K281" s="8"/>
      <c r="L281" s="8"/>
      <c r="M281" s="8"/>
      <c r="N281" s="8"/>
    </row>
    <row r="282" spans="11:14" ht="15.75" customHeight="1" x14ac:dyDescent="0.3">
      <c r="K282" s="8"/>
      <c r="L282" s="8"/>
      <c r="M282" s="8"/>
      <c r="N282" s="8"/>
    </row>
    <row r="283" spans="11:14" ht="15.75" customHeight="1" x14ac:dyDescent="0.3">
      <c r="K283" s="8"/>
      <c r="L283" s="8"/>
      <c r="M283" s="8"/>
      <c r="N283" s="8"/>
    </row>
    <row r="284" spans="11:14" ht="15.75" customHeight="1" x14ac:dyDescent="0.3">
      <c r="K284" s="8"/>
      <c r="L284" s="8"/>
      <c r="M284" s="8"/>
      <c r="N284" s="8"/>
    </row>
    <row r="285" spans="11:14" ht="15.75" customHeight="1" x14ac:dyDescent="0.3">
      <c r="K285" s="8"/>
      <c r="L285" s="8"/>
      <c r="M285" s="8"/>
      <c r="N285" s="8"/>
    </row>
    <row r="286" spans="11:14" ht="15.75" customHeight="1" x14ac:dyDescent="0.3">
      <c r="K286" s="8"/>
      <c r="L286" s="8"/>
      <c r="M286" s="8"/>
      <c r="N286" s="8"/>
    </row>
    <row r="287" spans="11:14" ht="15.75" customHeight="1" x14ac:dyDescent="0.3">
      <c r="K287" s="8"/>
      <c r="L287" s="8"/>
      <c r="M287" s="8"/>
      <c r="N287" s="8"/>
    </row>
    <row r="288" spans="11:14" ht="15.75" customHeight="1" x14ac:dyDescent="0.3">
      <c r="K288" s="8"/>
      <c r="L288" s="8"/>
      <c r="M288" s="8"/>
      <c r="N288" s="8"/>
    </row>
    <row r="289" spans="11:14" ht="15.75" customHeight="1" x14ac:dyDescent="0.3">
      <c r="K289" s="8"/>
      <c r="L289" s="8"/>
      <c r="M289" s="8"/>
      <c r="N289" s="8"/>
    </row>
    <row r="290" spans="11:14" ht="15.75" customHeight="1" x14ac:dyDescent="0.3">
      <c r="K290" s="8"/>
      <c r="L290" s="8"/>
      <c r="M290" s="8"/>
      <c r="N290" s="8"/>
    </row>
    <row r="291" spans="11:14" ht="15.75" customHeight="1" x14ac:dyDescent="0.3">
      <c r="K291" s="8"/>
      <c r="L291" s="8"/>
      <c r="M291" s="8"/>
      <c r="N291" s="8"/>
    </row>
    <row r="292" spans="11:14" ht="15.75" customHeight="1" x14ac:dyDescent="0.3">
      <c r="K292" s="8"/>
      <c r="L292" s="8"/>
      <c r="M292" s="8"/>
      <c r="N292" s="8"/>
    </row>
    <row r="293" spans="11:14" ht="15.75" customHeight="1" x14ac:dyDescent="0.3">
      <c r="K293" s="8"/>
      <c r="L293" s="8"/>
      <c r="M293" s="8"/>
      <c r="N293" s="8"/>
    </row>
    <row r="294" spans="11:14" ht="15.75" customHeight="1" x14ac:dyDescent="0.3">
      <c r="K294" s="8"/>
      <c r="L294" s="8"/>
      <c r="M294" s="8"/>
      <c r="N294" s="8"/>
    </row>
    <row r="295" spans="11:14" ht="15.75" customHeight="1" x14ac:dyDescent="0.3">
      <c r="K295" s="8"/>
      <c r="L295" s="8"/>
      <c r="M295" s="8"/>
      <c r="N295" s="8"/>
    </row>
    <row r="296" spans="11:14" ht="15.75" customHeight="1" x14ac:dyDescent="0.3">
      <c r="K296" s="8"/>
      <c r="L296" s="8"/>
      <c r="M296" s="8"/>
      <c r="N296" s="8"/>
    </row>
    <row r="297" spans="11:14" ht="15.75" customHeight="1" x14ac:dyDescent="0.3">
      <c r="K297" s="8"/>
      <c r="L297" s="8"/>
      <c r="M297" s="8"/>
      <c r="N297" s="8"/>
    </row>
    <row r="298" spans="11:14" ht="15.75" customHeight="1" x14ac:dyDescent="0.3">
      <c r="K298" s="8"/>
      <c r="L298" s="8"/>
      <c r="M298" s="8"/>
      <c r="N298" s="8"/>
    </row>
    <row r="299" spans="11:14" ht="15.75" customHeight="1" x14ac:dyDescent="0.3">
      <c r="K299" s="8"/>
      <c r="L299" s="8"/>
      <c r="M299" s="8"/>
      <c r="N299" s="8"/>
    </row>
    <row r="300" spans="11:14" ht="15.75" customHeight="1" x14ac:dyDescent="0.3">
      <c r="K300" s="8"/>
      <c r="L300" s="8"/>
      <c r="M300" s="8"/>
      <c r="N300" s="8"/>
    </row>
    <row r="301" spans="11:14" ht="15.75" customHeight="1" x14ac:dyDescent="0.3">
      <c r="K301" s="8"/>
      <c r="L301" s="8"/>
      <c r="M301" s="8"/>
      <c r="N301" s="8"/>
    </row>
    <row r="302" spans="11:14" ht="15.75" customHeight="1" x14ac:dyDescent="0.3">
      <c r="K302" s="8"/>
      <c r="L302" s="8"/>
      <c r="M302" s="8"/>
      <c r="N302" s="8"/>
    </row>
    <row r="303" spans="11:14" ht="15.75" customHeight="1" x14ac:dyDescent="0.3">
      <c r="K303" s="8"/>
      <c r="L303" s="8"/>
      <c r="M303" s="8"/>
      <c r="N303" s="8"/>
    </row>
    <row r="304" spans="11:14" ht="15.75" customHeight="1" x14ac:dyDescent="0.3">
      <c r="K304" s="8"/>
      <c r="L304" s="8"/>
      <c r="M304" s="8"/>
      <c r="N304" s="8"/>
    </row>
    <row r="305" spans="11:14" ht="15.75" customHeight="1" x14ac:dyDescent="0.3">
      <c r="K305" s="8"/>
      <c r="L305" s="8"/>
      <c r="M305" s="8"/>
      <c r="N305" s="8"/>
    </row>
    <row r="306" spans="11:14" ht="15.75" customHeight="1" x14ac:dyDescent="0.3">
      <c r="K306" s="8"/>
      <c r="L306" s="8"/>
      <c r="M306" s="8"/>
      <c r="N306" s="8"/>
    </row>
    <row r="307" spans="11:14" ht="15.75" customHeight="1" x14ac:dyDescent="0.3">
      <c r="K307" s="8"/>
      <c r="L307" s="8"/>
      <c r="M307" s="8"/>
      <c r="N307" s="8"/>
    </row>
    <row r="308" spans="11:14" ht="15.75" customHeight="1" x14ac:dyDescent="0.3">
      <c r="K308" s="8"/>
      <c r="L308" s="8"/>
      <c r="M308" s="8"/>
      <c r="N308" s="8"/>
    </row>
    <row r="309" spans="11:14" ht="15.75" customHeight="1" x14ac:dyDescent="0.3">
      <c r="K309" s="8"/>
      <c r="L309" s="8"/>
      <c r="M309" s="8"/>
      <c r="N309" s="8"/>
    </row>
    <row r="310" spans="11:14" ht="15.75" customHeight="1" x14ac:dyDescent="0.3">
      <c r="K310" s="8"/>
      <c r="L310" s="8"/>
      <c r="M310" s="8"/>
      <c r="N310" s="8"/>
    </row>
    <row r="311" spans="11:14" ht="15.75" customHeight="1" x14ac:dyDescent="0.3">
      <c r="K311" s="8"/>
      <c r="L311" s="8"/>
      <c r="M311" s="8"/>
      <c r="N311" s="8"/>
    </row>
    <row r="312" spans="11:14" ht="15.75" customHeight="1" x14ac:dyDescent="0.3">
      <c r="K312" s="8"/>
      <c r="L312" s="8"/>
      <c r="M312" s="8"/>
      <c r="N312" s="8"/>
    </row>
    <row r="313" spans="11:14" ht="15.75" customHeight="1" x14ac:dyDescent="0.3">
      <c r="K313" s="8"/>
      <c r="L313" s="8"/>
      <c r="M313" s="8"/>
      <c r="N313" s="8"/>
    </row>
    <row r="314" spans="11:14" ht="15.75" customHeight="1" x14ac:dyDescent="0.3">
      <c r="K314" s="8"/>
      <c r="L314" s="8"/>
      <c r="M314" s="8"/>
      <c r="N314" s="8"/>
    </row>
    <row r="315" spans="11:14" ht="15.75" customHeight="1" x14ac:dyDescent="0.3">
      <c r="K315" s="8"/>
      <c r="L315" s="8"/>
      <c r="M315" s="8"/>
      <c r="N315" s="8"/>
    </row>
    <row r="316" spans="11:14" ht="15.75" customHeight="1" x14ac:dyDescent="0.3">
      <c r="K316" s="8"/>
      <c r="L316" s="8"/>
      <c r="M316" s="8"/>
      <c r="N316" s="8"/>
    </row>
    <row r="317" spans="11:14" ht="15.75" customHeight="1" x14ac:dyDescent="0.3">
      <c r="K317" s="8"/>
      <c r="L317" s="8"/>
      <c r="M317" s="8"/>
      <c r="N317" s="8"/>
    </row>
    <row r="318" spans="11:14" ht="15.75" customHeight="1" x14ac:dyDescent="0.3">
      <c r="K318" s="8"/>
      <c r="L318" s="8"/>
      <c r="M318" s="8"/>
      <c r="N318" s="8"/>
    </row>
    <row r="319" spans="11:14" ht="15.75" customHeight="1" x14ac:dyDescent="0.3">
      <c r="K319" s="8"/>
      <c r="L319" s="8"/>
      <c r="M319" s="8"/>
      <c r="N319" s="8"/>
    </row>
    <row r="320" spans="11:14" ht="15.75" customHeight="1" x14ac:dyDescent="0.3">
      <c r="K320" s="8"/>
      <c r="L320" s="8"/>
      <c r="M320" s="8"/>
      <c r="N320" s="8"/>
    </row>
    <row r="321" spans="11:14" ht="15.75" customHeight="1" x14ac:dyDescent="0.3">
      <c r="K321" s="8"/>
      <c r="L321" s="8"/>
      <c r="M321" s="8"/>
      <c r="N321" s="8"/>
    </row>
    <row r="322" spans="11:14" ht="15.75" customHeight="1" x14ac:dyDescent="0.3">
      <c r="K322" s="8"/>
      <c r="L322" s="8"/>
      <c r="M322" s="8"/>
      <c r="N322" s="8"/>
    </row>
    <row r="323" spans="11:14" ht="15.75" customHeight="1" x14ac:dyDescent="0.3">
      <c r="K323" s="8"/>
      <c r="L323" s="8"/>
      <c r="M323" s="8"/>
      <c r="N323" s="8"/>
    </row>
    <row r="324" spans="11:14" ht="15.75" customHeight="1" x14ac:dyDescent="0.3">
      <c r="K324" s="8"/>
      <c r="L324" s="8"/>
      <c r="M324" s="8"/>
      <c r="N324" s="8"/>
    </row>
    <row r="325" spans="11:14" ht="15.75" customHeight="1" x14ac:dyDescent="0.3">
      <c r="K325" s="8"/>
      <c r="L325" s="8"/>
      <c r="M325" s="8"/>
      <c r="N325" s="8"/>
    </row>
    <row r="326" spans="11:14" ht="15.75" customHeight="1" x14ac:dyDescent="0.3">
      <c r="K326" s="8"/>
      <c r="L326" s="8"/>
      <c r="M326" s="8"/>
      <c r="N326" s="8"/>
    </row>
    <row r="327" spans="11:14" ht="15.75" customHeight="1" x14ac:dyDescent="0.3">
      <c r="K327" s="8"/>
      <c r="L327" s="8"/>
      <c r="M327" s="8"/>
      <c r="N327" s="8"/>
    </row>
    <row r="328" spans="11:14" ht="15.75" customHeight="1" x14ac:dyDescent="0.3">
      <c r="K328" s="8"/>
      <c r="L328" s="8"/>
      <c r="M328" s="8"/>
      <c r="N328" s="8"/>
    </row>
    <row r="329" spans="11:14" ht="15.75" customHeight="1" x14ac:dyDescent="0.3">
      <c r="K329" s="8"/>
      <c r="L329" s="8"/>
      <c r="M329" s="8"/>
      <c r="N329" s="8"/>
    </row>
    <row r="330" spans="11:14" ht="15.75" customHeight="1" x14ac:dyDescent="0.3">
      <c r="K330" s="8"/>
      <c r="L330" s="8"/>
      <c r="M330" s="8"/>
      <c r="N330" s="8"/>
    </row>
    <row r="331" spans="11:14" ht="15.75" customHeight="1" x14ac:dyDescent="0.3">
      <c r="K331" s="8"/>
      <c r="L331" s="8"/>
      <c r="M331" s="8"/>
      <c r="N331" s="8"/>
    </row>
    <row r="332" spans="11:14" ht="15.75" customHeight="1" x14ac:dyDescent="0.3">
      <c r="K332" s="8"/>
      <c r="L332" s="8"/>
      <c r="M332" s="8"/>
      <c r="N332" s="8"/>
    </row>
    <row r="333" spans="11:14" ht="15.75" customHeight="1" x14ac:dyDescent="0.3">
      <c r="K333" s="8"/>
      <c r="L333" s="8"/>
      <c r="M333" s="8"/>
      <c r="N333" s="8"/>
    </row>
    <row r="334" spans="11:14" ht="15.75" customHeight="1" x14ac:dyDescent="0.3">
      <c r="K334" s="8"/>
      <c r="L334" s="8"/>
      <c r="M334" s="8"/>
      <c r="N334" s="8"/>
    </row>
    <row r="335" spans="11:14" ht="15.75" customHeight="1" x14ac:dyDescent="0.3">
      <c r="K335" s="8"/>
      <c r="L335" s="8"/>
      <c r="M335" s="8"/>
      <c r="N335" s="8"/>
    </row>
    <row r="336" spans="11:14" ht="15.75" customHeight="1" x14ac:dyDescent="0.3">
      <c r="K336" s="8"/>
      <c r="L336" s="8"/>
      <c r="M336" s="8"/>
      <c r="N336" s="8"/>
    </row>
    <row r="337" spans="11:14" ht="15.75" customHeight="1" x14ac:dyDescent="0.3">
      <c r="K337" s="8"/>
      <c r="L337" s="8"/>
      <c r="M337" s="8"/>
      <c r="N337" s="8"/>
    </row>
    <row r="338" spans="11:14" ht="15.75" customHeight="1" x14ac:dyDescent="0.3">
      <c r="K338" s="8"/>
      <c r="L338" s="8"/>
      <c r="M338" s="8"/>
      <c r="N338" s="8"/>
    </row>
    <row r="339" spans="11:14" ht="15.75" customHeight="1" x14ac:dyDescent="0.3">
      <c r="K339" s="8"/>
      <c r="L339" s="8"/>
      <c r="M339" s="8"/>
      <c r="N339" s="8"/>
    </row>
    <row r="340" spans="11:14" ht="15.75" customHeight="1" x14ac:dyDescent="0.3">
      <c r="K340" s="8"/>
      <c r="L340" s="8"/>
      <c r="M340" s="8"/>
      <c r="N340" s="8"/>
    </row>
    <row r="341" spans="11:14" ht="15.75" customHeight="1" x14ac:dyDescent="0.3">
      <c r="K341" s="8"/>
      <c r="L341" s="8"/>
      <c r="M341" s="8"/>
      <c r="N341" s="8"/>
    </row>
    <row r="342" spans="11:14" ht="15.75" customHeight="1" x14ac:dyDescent="0.3">
      <c r="K342" s="8"/>
      <c r="L342" s="8"/>
      <c r="M342" s="8"/>
      <c r="N342" s="8"/>
    </row>
    <row r="343" spans="11:14" ht="15.75" customHeight="1" x14ac:dyDescent="0.3">
      <c r="K343" s="8"/>
      <c r="L343" s="8"/>
      <c r="M343" s="8"/>
      <c r="N343" s="8"/>
    </row>
    <row r="344" spans="11:14" ht="15.75" customHeight="1" x14ac:dyDescent="0.3">
      <c r="K344" s="8"/>
      <c r="L344" s="8"/>
      <c r="M344" s="8"/>
      <c r="N344" s="8"/>
    </row>
    <row r="345" spans="11:14" ht="15.75" customHeight="1" x14ac:dyDescent="0.3">
      <c r="K345" s="8"/>
      <c r="L345" s="8"/>
      <c r="M345" s="8"/>
      <c r="N345" s="8"/>
    </row>
    <row r="346" spans="11:14" ht="15.75" customHeight="1" x14ac:dyDescent="0.3">
      <c r="K346" s="8"/>
      <c r="L346" s="8"/>
      <c r="M346" s="8"/>
      <c r="N346" s="8"/>
    </row>
    <row r="347" spans="11:14" ht="15.75" customHeight="1" x14ac:dyDescent="0.3">
      <c r="K347" s="8"/>
      <c r="L347" s="8"/>
      <c r="M347" s="8"/>
      <c r="N347" s="8"/>
    </row>
    <row r="348" spans="11:14" ht="15.75" customHeight="1" x14ac:dyDescent="0.3">
      <c r="K348" s="8"/>
      <c r="L348" s="8"/>
      <c r="M348" s="8"/>
      <c r="N348" s="8"/>
    </row>
    <row r="349" spans="11:14" ht="15.75" customHeight="1" x14ac:dyDescent="0.3">
      <c r="K349" s="8"/>
      <c r="L349" s="8"/>
      <c r="M349" s="8"/>
      <c r="N349" s="8"/>
    </row>
    <row r="350" spans="11:14" ht="15.75" customHeight="1" x14ac:dyDescent="0.3">
      <c r="K350" s="8"/>
      <c r="L350" s="8"/>
      <c r="M350" s="8"/>
      <c r="N350" s="8"/>
    </row>
    <row r="351" spans="11:14" ht="15.75" customHeight="1" x14ac:dyDescent="0.3">
      <c r="K351" s="8"/>
      <c r="L351" s="8"/>
      <c r="M351" s="8"/>
      <c r="N351" s="8"/>
    </row>
    <row r="352" spans="11:14" ht="15.75" customHeight="1" x14ac:dyDescent="0.3">
      <c r="K352" s="8"/>
      <c r="L352" s="8"/>
      <c r="M352" s="8"/>
      <c r="N352" s="8"/>
    </row>
    <row r="353" spans="11:14" ht="15.75" customHeight="1" x14ac:dyDescent="0.3">
      <c r="K353" s="8"/>
      <c r="L353" s="8"/>
      <c r="M353" s="8"/>
      <c r="N353" s="8"/>
    </row>
    <row r="354" spans="11:14" ht="15.75" customHeight="1" x14ac:dyDescent="0.3">
      <c r="K354" s="8"/>
      <c r="L354" s="8"/>
      <c r="M354" s="8"/>
      <c r="N354" s="8"/>
    </row>
    <row r="355" spans="11:14" ht="15.75" customHeight="1" x14ac:dyDescent="0.3">
      <c r="K355" s="8"/>
      <c r="L355" s="8"/>
      <c r="M355" s="8"/>
      <c r="N355" s="8"/>
    </row>
    <row r="356" spans="11:14" ht="15.75" customHeight="1" x14ac:dyDescent="0.3">
      <c r="K356" s="8"/>
      <c r="L356" s="8"/>
      <c r="M356" s="8"/>
      <c r="N356" s="8"/>
    </row>
    <row r="357" spans="11:14" ht="15.75" customHeight="1" x14ac:dyDescent="0.3">
      <c r="K357" s="8"/>
      <c r="L357" s="8"/>
      <c r="M357" s="8"/>
      <c r="N357" s="8"/>
    </row>
    <row r="358" spans="11:14" ht="15.75" customHeight="1" x14ac:dyDescent="0.3">
      <c r="K358" s="8"/>
      <c r="L358" s="8"/>
      <c r="M358" s="8"/>
      <c r="N358" s="8"/>
    </row>
    <row r="359" spans="11:14" ht="15.75" customHeight="1" x14ac:dyDescent="0.3">
      <c r="K359" s="8"/>
      <c r="L359" s="8"/>
      <c r="M359" s="8"/>
      <c r="N359" s="8"/>
    </row>
    <row r="360" spans="11:14" ht="15.75" customHeight="1" x14ac:dyDescent="0.3">
      <c r="K360" s="8"/>
      <c r="L360" s="8"/>
      <c r="M360" s="8"/>
      <c r="N360" s="8"/>
    </row>
    <row r="361" spans="11:14" ht="15.75" customHeight="1" x14ac:dyDescent="0.3">
      <c r="K361" s="8"/>
      <c r="L361" s="8"/>
      <c r="M361" s="8"/>
      <c r="N361" s="8"/>
    </row>
    <row r="362" spans="11:14" ht="15.75" customHeight="1" x14ac:dyDescent="0.3">
      <c r="K362" s="8"/>
      <c r="L362" s="8"/>
      <c r="M362" s="8"/>
      <c r="N362" s="8"/>
    </row>
    <row r="363" spans="11:14" ht="15.75" customHeight="1" x14ac:dyDescent="0.3">
      <c r="K363" s="8"/>
      <c r="L363" s="8"/>
      <c r="M363" s="8"/>
      <c r="N363" s="8"/>
    </row>
    <row r="364" spans="11:14" ht="15.75" customHeight="1" x14ac:dyDescent="0.3">
      <c r="K364" s="8"/>
      <c r="L364" s="8"/>
      <c r="M364" s="8"/>
      <c r="N364" s="8"/>
    </row>
    <row r="365" spans="11:14" ht="15.75" customHeight="1" x14ac:dyDescent="0.3">
      <c r="K365" s="8"/>
      <c r="L365" s="8"/>
      <c r="M365" s="8"/>
      <c r="N365" s="8"/>
    </row>
    <row r="366" spans="11:14" ht="15.75" customHeight="1" x14ac:dyDescent="0.3">
      <c r="K366" s="8"/>
      <c r="L366" s="8"/>
      <c r="M366" s="8"/>
      <c r="N366" s="8"/>
    </row>
    <row r="367" spans="11:14" ht="15.75" customHeight="1" x14ac:dyDescent="0.3">
      <c r="K367" s="8"/>
      <c r="L367" s="8"/>
      <c r="M367" s="8"/>
      <c r="N367" s="8"/>
    </row>
    <row r="368" spans="11:14" ht="15.75" customHeight="1" x14ac:dyDescent="0.3">
      <c r="K368" s="8"/>
      <c r="L368" s="8"/>
      <c r="M368" s="8"/>
      <c r="N368" s="8"/>
    </row>
    <row r="369" spans="11:14" ht="15.75" customHeight="1" x14ac:dyDescent="0.3">
      <c r="K369" s="8"/>
      <c r="L369" s="8"/>
      <c r="M369" s="8"/>
      <c r="N369" s="8"/>
    </row>
    <row r="370" spans="11:14" ht="15.75" customHeight="1" x14ac:dyDescent="0.3">
      <c r="K370" s="8"/>
      <c r="L370" s="8"/>
      <c r="M370" s="8"/>
      <c r="N370" s="8"/>
    </row>
    <row r="371" spans="11:14" ht="15.75" customHeight="1" x14ac:dyDescent="0.3">
      <c r="K371" s="8"/>
      <c r="L371" s="8"/>
      <c r="M371" s="8"/>
      <c r="N371" s="8"/>
    </row>
    <row r="372" spans="11:14" ht="15.75" customHeight="1" x14ac:dyDescent="0.3">
      <c r="K372" s="8"/>
      <c r="L372" s="8"/>
      <c r="M372" s="8"/>
      <c r="N372" s="8"/>
    </row>
    <row r="373" spans="11:14" ht="15.75" customHeight="1" x14ac:dyDescent="0.3">
      <c r="K373" s="8"/>
      <c r="L373" s="8"/>
      <c r="M373" s="8"/>
      <c r="N373" s="8"/>
    </row>
    <row r="374" spans="11:14" ht="15.75" customHeight="1" x14ac:dyDescent="0.3">
      <c r="K374" s="8"/>
      <c r="L374" s="8"/>
      <c r="M374" s="8"/>
      <c r="N374" s="8"/>
    </row>
    <row r="375" spans="11:14" ht="15.75" customHeight="1" x14ac:dyDescent="0.3">
      <c r="K375" s="8"/>
      <c r="L375" s="8"/>
      <c r="M375" s="8"/>
      <c r="N375" s="8"/>
    </row>
    <row r="376" spans="11:14" ht="15.75" customHeight="1" x14ac:dyDescent="0.3">
      <c r="K376" s="8"/>
      <c r="L376" s="8"/>
      <c r="M376" s="8"/>
      <c r="N376" s="8"/>
    </row>
    <row r="377" spans="11:14" ht="15.75" customHeight="1" x14ac:dyDescent="0.3">
      <c r="K377" s="8"/>
      <c r="L377" s="8"/>
      <c r="M377" s="8"/>
      <c r="N377" s="8"/>
    </row>
    <row r="378" spans="11:14" ht="15.75" customHeight="1" x14ac:dyDescent="0.3">
      <c r="K378" s="8"/>
      <c r="L378" s="8"/>
      <c r="M378" s="8"/>
      <c r="N378" s="8"/>
    </row>
    <row r="379" spans="11:14" ht="15.75" customHeight="1" x14ac:dyDescent="0.3">
      <c r="K379" s="8"/>
      <c r="L379" s="8"/>
      <c r="M379" s="8"/>
      <c r="N379" s="8"/>
    </row>
    <row r="380" spans="11:14" ht="15.75" customHeight="1" x14ac:dyDescent="0.3">
      <c r="K380" s="8"/>
      <c r="L380" s="8"/>
      <c r="M380" s="8"/>
      <c r="N380" s="8"/>
    </row>
    <row r="381" spans="11:14" ht="15.75" customHeight="1" x14ac:dyDescent="0.3">
      <c r="K381" s="8"/>
      <c r="L381" s="8"/>
      <c r="M381" s="8"/>
      <c r="N381" s="8"/>
    </row>
    <row r="382" spans="11:14" ht="15.75" customHeight="1" x14ac:dyDescent="0.3">
      <c r="K382" s="8"/>
      <c r="L382" s="8"/>
      <c r="M382" s="8"/>
      <c r="N382" s="8"/>
    </row>
    <row r="383" spans="11:14" ht="15.75" customHeight="1" x14ac:dyDescent="0.3">
      <c r="K383" s="8"/>
      <c r="L383" s="8"/>
      <c r="M383" s="8"/>
      <c r="N383" s="8"/>
    </row>
    <row r="384" spans="11:14" ht="15.75" customHeight="1" x14ac:dyDescent="0.3">
      <c r="K384" s="8"/>
      <c r="L384" s="8"/>
      <c r="M384" s="8"/>
      <c r="N384" s="8"/>
    </row>
    <row r="385" spans="11:14" ht="15.75" customHeight="1" x14ac:dyDescent="0.3">
      <c r="K385" s="8"/>
      <c r="L385" s="8"/>
      <c r="M385" s="8"/>
      <c r="N385" s="8"/>
    </row>
    <row r="386" spans="11:14" ht="15.75" customHeight="1" x14ac:dyDescent="0.3">
      <c r="K386" s="8"/>
      <c r="L386" s="8"/>
      <c r="M386" s="8"/>
      <c r="N386" s="8"/>
    </row>
    <row r="387" spans="11:14" ht="15.75" customHeight="1" x14ac:dyDescent="0.3">
      <c r="K387" s="8"/>
      <c r="L387" s="8"/>
      <c r="M387" s="8"/>
      <c r="N387" s="8"/>
    </row>
    <row r="388" spans="11:14" ht="15.75" customHeight="1" x14ac:dyDescent="0.3">
      <c r="K388" s="8"/>
      <c r="L388" s="8"/>
      <c r="M388" s="8"/>
      <c r="N388" s="8"/>
    </row>
    <row r="389" spans="11:14" ht="15.75" customHeight="1" x14ac:dyDescent="0.3">
      <c r="K389" s="8"/>
      <c r="L389" s="8"/>
      <c r="M389" s="8"/>
      <c r="N389" s="8"/>
    </row>
    <row r="390" spans="11:14" ht="15.75" customHeight="1" x14ac:dyDescent="0.3">
      <c r="K390" s="8"/>
      <c r="L390" s="8"/>
      <c r="M390" s="8"/>
      <c r="N390" s="8"/>
    </row>
    <row r="391" spans="11:14" ht="15.75" customHeight="1" x14ac:dyDescent="0.3">
      <c r="K391" s="8"/>
      <c r="L391" s="8"/>
      <c r="M391" s="8"/>
      <c r="N391" s="8"/>
    </row>
    <row r="392" spans="11:14" ht="15.75" customHeight="1" x14ac:dyDescent="0.3">
      <c r="K392" s="8"/>
      <c r="L392" s="8"/>
      <c r="M392" s="8"/>
      <c r="N392" s="8"/>
    </row>
    <row r="393" spans="11:14" ht="15.75" customHeight="1" x14ac:dyDescent="0.3">
      <c r="K393" s="8"/>
      <c r="L393" s="8"/>
      <c r="M393" s="8"/>
      <c r="N393" s="8"/>
    </row>
    <row r="394" spans="11:14" ht="15.75" customHeight="1" x14ac:dyDescent="0.3">
      <c r="K394" s="8"/>
      <c r="L394" s="8"/>
      <c r="M394" s="8"/>
      <c r="N394" s="8"/>
    </row>
    <row r="395" spans="11:14" ht="15.75" customHeight="1" x14ac:dyDescent="0.3">
      <c r="K395" s="8"/>
      <c r="L395" s="8"/>
      <c r="M395" s="8"/>
      <c r="N395" s="8"/>
    </row>
    <row r="396" spans="11:14" ht="15.75" customHeight="1" x14ac:dyDescent="0.3">
      <c r="K396" s="8"/>
      <c r="L396" s="8"/>
      <c r="M396" s="8"/>
      <c r="N396" s="8"/>
    </row>
    <row r="397" spans="11:14" ht="15.75" customHeight="1" x14ac:dyDescent="0.3">
      <c r="K397" s="8"/>
      <c r="L397" s="8"/>
      <c r="M397" s="8"/>
      <c r="N397" s="8"/>
    </row>
    <row r="398" spans="11:14" ht="15.75" customHeight="1" x14ac:dyDescent="0.3">
      <c r="K398" s="8"/>
      <c r="L398" s="8"/>
      <c r="M398" s="8"/>
      <c r="N398" s="8"/>
    </row>
    <row r="399" spans="11:14" ht="15.75" customHeight="1" x14ac:dyDescent="0.3">
      <c r="K399" s="8"/>
      <c r="L399" s="8"/>
      <c r="M399" s="8"/>
      <c r="N399" s="8"/>
    </row>
    <row r="400" spans="11:14" ht="15.75" customHeight="1" x14ac:dyDescent="0.3">
      <c r="K400" s="8"/>
      <c r="L400" s="8"/>
      <c r="M400" s="8"/>
      <c r="N400" s="8"/>
    </row>
    <row r="401" spans="11:14" ht="15.75" customHeight="1" x14ac:dyDescent="0.3">
      <c r="K401" s="8"/>
      <c r="L401" s="8"/>
      <c r="M401" s="8"/>
      <c r="N401" s="8"/>
    </row>
    <row r="402" spans="11:14" ht="15.75" customHeight="1" x14ac:dyDescent="0.3">
      <c r="K402" s="8"/>
      <c r="L402" s="8"/>
      <c r="M402" s="8"/>
      <c r="N402" s="8"/>
    </row>
    <row r="403" spans="11:14" ht="15.75" customHeight="1" x14ac:dyDescent="0.3">
      <c r="K403" s="8"/>
      <c r="L403" s="8"/>
      <c r="M403" s="8"/>
      <c r="N403" s="8"/>
    </row>
    <row r="404" spans="11:14" ht="15.75" customHeight="1" x14ac:dyDescent="0.3">
      <c r="K404" s="8"/>
      <c r="L404" s="8"/>
      <c r="M404" s="8"/>
      <c r="N404" s="8"/>
    </row>
    <row r="405" spans="11:14" ht="15.75" customHeight="1" x14ac:dyDescent="0.3">
      <c r="K405" s="8"/>
      <c r="L405" s="8"/>
      <c r="M405" s="8"/>
      <c r="N405" s="8"/>
    </row>
    <row r="406" spans="11:14" ht="15.75" customHeight="1" x14ac:dyDescent="0.3">
      <c r="K406" s="8"/>
      <c r="L406" s="8"/>
      <c r="M406" s="8"/>
      <c r="N406" s="8"/>
    </row>
    <row r="407" spans="11:14" ht="15.75" customHeight="1" x14ac:dyDescent="0.3">
      <c r="K407" s="8"/>
      <c r="L407" s="8"/>
      <c r="M407" s="8"/>
      <c r="N407" s="8"/>
    </row>
    <row r="408" spans="11:14" ht="15.75" customHeight="1" x14ac:dyDescent="0.3">
      <c r="K408" s="8"/>
      <c r="L408" s="8"/>
      <c r="M408" s="8"/>
      <c r="N408" s="8"/>
    </row>
    <row r="409" spans="11:14" ht="15.75" customHeight="1" x14ac:dyDescent="0.3">
      <c r="K409" s="8"/>
      <c r="L409" s="8"/>
      <c r="M409" s="8"/>
      <c r="N409" s="8"/>
    </row>
    <row r="410" spans="11:14" ht="15.75" customHeight="1" x14ac:dyDescent="0.3">
      <c r="K410" s="8"/>
      <c r="L410" s="8"/>
      <c r="M410" s="8"/>
      <c r="N410" s="8"/>
    </row>
    <row r="411" spans="11:14" ht="15.75" customHeight="1" x14ac:dyDescent="0.3">
      <c r="K411" s="8"/>
      <c r="L411" s="8"/>
      <c r="M411" s="8"/>
      <c r="N411" s="8"/>
    </row>
    <row r="412" spans="11:14" ht="15.75" customHeight="1" x14ac:dyDescent="0.3">
      <c r="K412" s="8"/>
      <c r="L412" s="8"/>
      <c r="M412" s="8"/>
      <c r="N412" s="8"/>
    </row>
    <row r="413" spans="11:14" ht="15.75" customHeight="1" x14ac:dyDescent="0.3">
      <c r="K413" s="8"/>
      <c r="L413" s="8"/>
      <c r="M413" s="8"/>
      <c r="N413" s="8"/>
    </row>
    <row r="414" spans="11:14" ht="15.75" customHeight="1" x14ac:dyDescent="0.3">
      <c r="K414" s="8"/>
      <c r="L414" s="8"/>
      <c r="M414" s="8"/>
      <c r="N414" s="8"/>
    </row>
    <row r="415" spans="11:14" ht="15.75" customHeight="1" x14ac:dyDescent="0.3">
      <c r="K415" s="8"/>
      <c r="L415" s="8"/>
      <c r="M415" s="8"/>
      <c r="N415" s="8"/>
    </row>
    <row r="416" spans="11:14" ht="15.75" customHeight="1" x14ac:dyDescent="0.3">
      <c r="K416" s="8"/>
      <c r="L416" s="8"/>
      <c r="M416" s="8"/>
      <c r="N416" s="8"/>
    </row>
    <row r="417" spans="11:14" ht="15.75" customHeight="1" x14ac:dyDescent="0.3">
      <c r="K417" s="8"/>
      <c r="L417" s="8"/>
      <c r="M417" s="8"/>
      <c r="N417" s="8"/>
    </row>
    <row r="418" spans="11:14" ht="15.75" customHeight="1" x14ac:dyDescent="0.3">
      <c r="K418" s="8"/>
      <c r="L418" s="8"/>
      <c r="M418" s="8"/>
      <c r="N418" s="8"/>
    </row>
    <row r="419" spans="11:14" ht="15.75" customHeight="1" x14ac:dyDescent="0.3">
      <c r="K419" s="8"/>
      <c r="L419" s="8"/>
      <c r="M419" s="8"/>
      <c r="N419" s="8"/>
    </row>
    <row r="420" spans="11:14" ht="15.75" customHeight="1" x14ac:dyDescent="0.3">
      <c r="K420" s="8"/>
      <c r="L420" s="8"/>
      <c r="M420" s="8"/>
      <c r="N420" s="8"/>
    </row>
    <row r="421" spans="11:14" ht="15.75" customHeight="1" x14ac:dyDescent="0.3">
      <c r="K421" s="8"/>
      <c r="L421" s="8"/>
      <c r="M421" s="8"/>
      <c r="N421" s="8"/>
    </row>
    <row r="422" spans="11:14" ht="15.75" customHeight="1" x14ac:dyDescent="0.3">
      <c r="K422" s="8"/>
      <c r="L422" s="8"/>
      <c r="M422" s="8"/>
      <c r="N422" s="8"/>
    </row>
    <row r="423" spans="11:14" ht="15.75" customHeight="1" x14ac:dyDescent="0.3">
      <c r="K423" s="8"/>
      <c r="L423" s="8"/>
      <c r="M423" s="8"/>
      <c r="N423" s="8"/>
    </row>
    <row r="424" spans="11:14" ht="15.75" customHeight="1" x14ac:dyDescent="0.3">
      <c r="K424" s="8"/>
      <c r="L424" s="8"/>
      <c r="M424" s="8"/>
      <c r="N424" s="8"/>
    </row>
    <row r="425" spans="11:14" ht="15.75" customHeight="1" x14ac:dyDescent="0.3">
      <c r="K425" s="8"/>
      <c r="L425" s="8"/>
      <c r="M425" s="8"/>
      <c r="N425" s="8"/>
    </row>
    <row r="426" spans="11:14" ht="15.75" customHeight="1" x14ac:dyDescent="0.3">
      <c r="K426" s="8"/>
      <c r="L426" s="8"/>
      <c r="M426" s="8"/>
      <c r="N426" s="8"/>
    </row>
    <row r="427" spans="11:14" ht="15.75" customHeight="1" x14ac:dyDescent="0.3">
      <c r="K427" s="8"/>
      <c r="L427" s="8"/>
      <c r="M427" s="8"/>
      <c r="N427" s="8"/>
    </row>
    <row r="428" spans="11:14" ht="15.75" customHeight="1" x14ac:dyDescent="0.3">
      <c r="K428" s="8"/>
      <c r="L428" s="8"/>
      <c r="M428" s="8"/>
      <c r="N428" s="8"/>
    </row>
    <row r="429" spans="11:14" ht="15.75" customHeight="1" x14ac:dyDescent="0.3">
      <c r="K429" s="8"/>
      <c r="L429" s="8"/>
      <c r="M429" s="8"/>
      <c r="N429" s="8"/>
    </row>
    <row r="430" spans="11:14" ht="15.75" customHeight="1" x14ac:dyDescent="0.3">
      <c r="K430" s="8"/>
      <c r="L430" s="8"/>
      <c r="M430" s="8"/>
      <c r="N430" s="8"/>
    </row>
    <row r="431" spans="11:14" ht="15.75" customHeight="1" x14ac:dyDescent="0.3">
      <c r="K431" s="8"/>
      <c r="L431" s="8"/>
      <c r="M431" s="8"/>
      <c r="N431" s="8"/>
    </row>
    <row r="432" spans="11:14" ht="15.75" customHeight="1" x14ac:dyDescent="0.3">
      <c r="K432" s="8"/>
      <c r="L432" s="8"/>
      <c r="M432" s="8"/>
      <c r="N432" s="8"/>
    </row>
    <row r="433" spans="11:14" ht="15.75" customHeight="1" x14ac:dyDescent="0.3">
      <c r="K433" s="8"/>
      <c r="L433" s="8"/>
      <c r="M433" s="8"/>
      <c r="N433" s="8"/>
    </row>
    <row r="434" spans="11:14" ht="15.75" customHeight="1" x14ac:dyDescent="0.3">
      <c r="K434" s="8"/>
      <c r="L434" s="8"/>
      <c r="M434" s="8"/>
      <c r="N434" s="8"/>
    </row>
    <row r="435" spans="11:14" ht="15.75" customHeight="1" x14ac:dyDescent="0.3">
      <c r="K435" s="8"/>
      <c r="L435" s="8"/>
      <c r="M435" s="8"/>
      <c r="N435" s="8"/>
    </row>
    <row r="436" spans="11:14" ht="15.75" customHeight="1" x14ac:dyDescent="0.3">
      <c r="K436" s="8"/>
      <c r="L436" s="8"/>
      <c r="M436" s="8"/>
      <c r="N436" s="8"/>
    </row>
    <row r="437" spans="11:14" ht="15.75" customHeight="1" x14ac:dyDescent="0.3">
      <c r="K437" s="8"/>
      <c r="L437" s="8"/>
      <c r="M437" s="8"/>
      <c r="N437" s="8"/>
    </row>
    <row r="438" spans="11:14" ht="15.75" customHeight="1" x14ac:dyDescent="0.3">
      <c r="K438" s="8"/>
      <c r="L438" s="8"/>
      <c r="M438" s="8"/>
      <c r="N438" s="8"/>
    </row>
    <row r="439" spans="11:14" ht="15.75" customHeight="1" x14ac:dyDescent="0.3">
      <c r="K439" s="8"/>
      <c r="L439" s="8"/>
      <c r="M439" s="8"/>
      <c r="N439" s="8"/>
    </row>
    <row r="440" spans="11:14" ht="15.75" customHeight="1" x14ac:dyDescent="0.3">
      <c r="K440" s="8"/>
      <c r="L440" s="8"/>
      <c r="M440" s="8"/>
      <c r="N440" s="8"/>
    </row>
    <row r="441" spans="11:14" ht="15.75" customHeight="1" x14ac:dyDescent="0.3">
      <c r="K441" s="8"/>
      <c r="L441" s="8"/>
      <c r="M441" s="8"/>
      <c r="N441" s="8"/>
    </row>
    <row r="442" spans="11:14" ht="15.75" customHeight="1" x14ac:dyDescent="0.3">
      <c r="K442" s="8"/>
      <c r="L442" s="8"/>
      <c r="M442" s="8"/>
      <c r="N442" s="8"/>
    </row>
    <row r="443" spans="11:14" ht="15.75" customHeight="1" x14ac:dyDescent="0.3">
      <c r="K443" s="8"/>
      <c r="L443" s="8"/>
      <c r="M443" s="8"/>
      <c r="N443" s="8"/>
    </row>
    <row r="444" spans="11:14" ht="15.75" customHeight="1" x14ac:dyDescent="0.3">
      <c r="K444" s="8"/>
      <c r="L444" s="8"/>
      <c r="M444" s="8"/>
      <c r="N444" s="8"/>
    </row>
    <row r="445" spans="11:14" ht="15.75" customHeight="1" x14ac:dyDescent="0.3">
      <c r="K445" s="8"/>
      <c r="L445" s="8"/>
      <c r="M445" s="8"/>
      <c r="N445" s="8"/>
    </row>
    <row r="446" spans="11:14" ht="15.75" customHeight="1" x14ac:dyDescent="0.3">
      <c r="K446" s="8"/>
      <c r="L446" s="8"/>
      <c r="M446" s="8"/>
      <c r="N446" s="8"/>
    </row>
    <row r="447" spans="11:14" ht="15.75" customHeight="1" x14ac:dyDescent="0.3">
      <c r="K447" s="8"/>
      <c r="L447" s="8"/>
      <c r="M447" s="8"/>
      <c r="N447" s="8"/>
    </row>
    <row r="448" spans="11:14" ht="15.75" customHeight="1" x14ac:dyDescent="0.3">
      <c r="K448" s="8"/>
      <c r="L448" s="8"/>
      <c r="M448" s="8"/>
      <c r="N448" s="8"/>
    </row>
    <row r="449" spans="11:14" ht="15.75" customHeight="1" x14ac:dyDescent="0.3">
      <c r="K449" s="8"/>
      <c r="L449" s="8"/>
      <c r="M449" s="8"/>
      <c r="N449" s="8"/>
    </row>
    <row r="450" spans="11:14" ht="15.75" customHeight="1" x14ac:dyDescent="0.3">
      <c r="K450" s="8"/>
      <c r="L450" s="8"/>
      <c r="M450" s="8"/>
      <c r="N450" s="8"/>
    </row>
    <row r="451" spans="11:14" ht="15.75" customHeight="1" x14ac:dyDescent="0.3">
      <c r="K451" s="8"/>
      <c r="L451" s="8"/>
      <c r="M451" s="8"/>
      <c r="N451" s="8"/>
    </row>
    <row r="452" spans="11:14" ht="15.75" customHeight="1" x14ac:dyDescent="0.3">
      <c r="K452" s="8"/>
      <c r="L452" s="8"/>
      <c r="M452" s="8"/>
      <c r="N452" s="8"/>
    </row>
    <row r="453" spans="11:14" ht="15.75" customHeight="1" x14ac:dyDescent="0.3">
      <c r="K453" s="8"/>
      <c r="L453" s="8"/>
      <c r="M453" s="8"/>
      <c r="N453" s="8"/>
    </row>
    <row r="454" spans="11:14" ht="15.75" customHeight="1" x14ac:dyDescent="0.3">
      <c r="K454" s="8"/>
      <c r="L454" s="8"/>
      <c r="M454" s="8"/>
      <c r="N454" s="8"/>
    </row>
    <row r="455" spans="11:14" ht="15.75" customHeight="1" x14ac:dyDescent="0.3">
      <c r="K455" s="8"/>
      <c r="L455" s="8"/>
      <c r="M455" s="8"/>
      <c r="N455" s="8"/>
    </row>
    <row r="456" spans="11:14" ht="15.75" customHeight="1" x14ac:dyDescent="0.3">
      <c r="K456" s="8"/>
      <c r="L456" s="8"/>
      <c r="M456" s="8"/>
      <c r="N456" s="8"/>
    </row>
    <row r="457" spans="11:14" ht="15.75" customHeight="1" x14ac:dyDescent="0.3">
      <c r="K457" s="8"/>
      <c r="L457" s="8"/>
      <c r="M457" s="8"/>
      <c r="N457" s="8"/>
    </row>
    <row r="458" spans="11:14" ht="15.75" customHeight="1" x14ac:dyDescent="0.3">
      <c r="K458" s="8"/>
      <c r="L458" s="8"/>
      <c r="M458" s="8"/>
      <c r="N458" s="8"/>
    </row>
    <row r="459" spans="11:14" ht="15.75" customHeight="1" x14ac:dyDescent="0.3">
      <c r="K459" s="8"/>
      <c r="L459" s="8"/>
      <c r="M459" s="8"/>
      <c r="N459" s="8"/>
    </row>
    <row r="460" spans="11:14" ht="15.75" customHeight="1" x14ac:dyDescent="0.3">
      <c r="K460" s="8"/>
      <c r="L460" s="8"/>
      <c r="M460" s="8"/>
      <c r="N460" s="8"/>
    </row>
    <row r="461" spans="11:14" ht="15.75" customHeight="1" x14ac:dyDescent="0.3">
      <c r="K461" s="8"/>
      <c r="L461" s="8"/>
      <c r="M461" s="8"/>
      <c r="N461" s="8"/>
    </row>
    <row r="462" spans="11:14" ht="15.75" customHeight="1" x14ac:dyDescent="0.3">
      <c r="K462" s="8"/>
      <c r="L462" s="8"/>
      <c r="M462" s="8"/>
      <c r="N462" s="8"/>
    </row>
    <row r="463" spans="11:14" ht="15.75" customHeight="1" x14ac:dyDescent="0.3">
      <c r="K463" s="8"/>
      <c r="L463" s="8"/>
      <c r="M463" s="8"/>
      <c r="N463" s="8"/>
    </row>
    <row r="464" spans="11:14" ht="15.75" customHeight="1" x14ac:dyDescent="0.3">
      <c r="K464" s="8"/>
      <c r="L464" s="8"/>
      <c r="M464" s="8"/>
      <c r="N464" s="8"/>
    </row>
    <row r="465" spans="11:14" ht="15.75" customHeight="1" x14ac:dyDescent="0.3">
      <c r="K465" s="8"/>
      <c r="L465" s="8"/>
      <c r="M465" s="8"/>
      <c r="N465" s="8"/>
    </row>
    <row r="466" spans="11:14" ht="15.75" customHeight="1" x14ac:dyDescent="0.3">
      <c r="K466" s="8"/>
      <c r="L466" s="8"/>
      <c r="M466" s="8"/>
      <c r="N466" s="8"/>
    </row>
    <row r="467" spans="11:14" ht="15.75" customHeight="1" x14ac:dyDescent="0.3">
      <c r="K467" s="8"/>
      <c r="L467" s="8"/>
      <c r="M467" s="8"/>
      <c r="N467" s="8"/>
    </row>
    <row r="468" spans="11:14" ht="15.75" customHeight="1" x14ac:dyDescent="0.3">
      <c r="K468" s="8"/>
      <c r="L468" s="8"/>
      <c r="M468" s="8"/>
      <c r="N468" s="8"/>
    </row>
    <row r="469" spans="11:14" ht="15.75" customHeight="1" x14ac:dyDescent="0.3">
      <c r="K469" s="8"/>
      <c r="L469" s="8"/>
      <c r="M469" s="8"/>
      <c r="N469" s="8"/>
    </row>
    <row r="470" spans="11:14" ht="15.75" customHeight="1" x14ac:dyDescent="0.3">
      <c r="K470" s="8"/>
      <c r="L470" s="8"/>
      <c r="M470" s="8"/>
      <c r="N470" s="8"/>
    </row>
    <row r="471" spans="11:14" ht="15.75" customHeight="1" x14ac:dyDescent="0.3">
      <c r="K471" s="8"/>
      <c r="L471" s="8"/>
      <c r="M471" s="8"/>
      <c r="N471" s="8"/>
    </row>
    <row r="472" spans="11:14" ht="15.75" customHeight="1" x14ac:dyDescent="0.3">
      <c r="K472" s="8"/>
      <c r="L472" s="8"/>
      <c r="M472" s="8"/>
      <c r="N472" s="8"/>
    </row>
    <row r="473" spans="11:14" ht="15.75" customHeight="1" x14ac:dyDescent="0.3">
      <c r="K473" s="8"/>
      <c r="L473" s="8"/>
      <c r="M473" s="8"/>
      <c r="N473" s="8"/>
    </row>
    <row r="474" spans="11:14" ht="15.75" customHeight="1" x14ac:dyDescent="0.3">
      <c r="K474" s="8"/>
      <c r="L474" s="8"/>
      <c r="M474" s="8"/>
      <c r="N474" s="8"/>
    </row>
    <row r="475" spans="11:14" ht="15.75" customHeight="1" x14ac:dyDescent="0.3">
      <c r="K475" s="8"/>
      <c r="L475" s="8"/>
      <c r="M475" s="8"/>
      <c r="N475" s="8"/>
    </row>
    <row r="476" spans="11:14" ht="15.75" customHeight="1" x14ac:dyDescent="0.3">
      <c r="K476" s="8"/>
      <c r="L476" s="8"/>
      <c r="M476" s="8"/>
      <c r="N476" s="8"/>
    </row>
    <row r="477" spans="11:14" ht="15.75" customHeight="1" x14ac:dyDescent="0.3">
      <c r="K477" s="8"/>
      <c r="L477" s="8"/>
      <c r="M477" s="8"/>
      <c r="N477" s="8"/>
    </row>
    <row r="478" spans="11:14" ht="15.75" customHeight="1" x14ac:dyDescent="0.3">
      <c r="K478" s="8"/>
      <c r="L478" s="8"/>
      <c r="M478" s="8"/>
      <c r="N478" s="8"/>
    </row>
    <row r="479" spans="11:14" ht="15.75" customHeight="1" x14ac:dyDescent="0.3">
      <c r="K479" s="8"/>
      <c r="L479" s="8"/>
      <c r="M479" s="8"/>
      <c r="N479" s="8"/>
    </row>
    <row r="480" spans="11:14" ht="15.75" customHeight="1" x14ac:dyDescent="0.3">
      <c r="K480" s="8"/>
      <c r="L480" s="8"/>
      <c r="M480" s="8"/>
      <c r="N480" s="8"/>
    </row>
    <row r="481" spans="11:14" ht="15.75" customHeight="1" x14ac:dyDescent="0.3">
      <c r="K481" s="8"/>
      <c r="L481" s="8"/>
      <c r="M481" s="8"/>
      <c r="N481" s="8"/>
    </row>
    <row r="482" spans="11:14" ht="15.75" customHeight="1" x14ac:dyDescent="0.3">
      <c r="K482" s="8"/>
      <c r="L482" s="8"/>
      <c r="M482" s="8"/>
      <c r="N482" s="8"/>
    </row>
    <row r="483" spans="11:14" ht="15.75" customHeight="1" x14ac:dyDescent="0.3">
      <c r="K483" s="8"/>
      <c r="L483" s="8"/>
      <c r="M483" s="8"/>
      <c r="N483" s="8"/>
    </row>
    <row r="484" spans="11:14" ht="15.75" customHeight="1" x14ac:dyDescent="0.3">
      <c r="K484" s="8"/>
      <c r="L484" s="8"/>
      <c r="M484" s="8"/>
      <c r="N484" s="8"/>
    </row>
    <row r="485" spans="11:14" ht="15.75" customHeight="1" x14ac:dyDescent="0.3">
      <c r="K485" s="8"/>
      <c r="L485" s="8"/>
      <c r="M485" s="8"/>
      <c r="N485" s="8"/>
    </row>
    <row r="486" spans="11:14" ht="15.75" customHeight="1" x14ac:dyDescent="0.3">
      <c r="K486" s="8"/>
      <c r="L486" s="8"/>
      <c r="M486" s="8"/>
      <c r="N486" s="8"/>
    </row>
    <row r="487" spans="11:14" ht="15.75" customHeight="1" x14ac:dyDescent="0.3">
      <c r="K487" s="8"/>
      <c r="L487" s="8"/>
      <c r="M487" s="8"/>
      <c r="N487" s="8"/>
    </row>
    <row r="488" spans="11:14" ht="15.75" customHeight="1" x14ac:dyDescent="0.3">
      <c r="K488" s="8"/>
      <c r="L488" s="8"/>
      <c r="M488" s="8"/>
      <c r="N488" s="8"/>
    </row>
    <row r="489" spans="11:14" ht="15.75" customHeight="1" x14ac:dyDescent="0.3">
      <c r="K489" s="8"/>
      <c r="L489" s="8"/>
      <c r="M489" s="8"/>
      <c r="N489" s="8"/>
    </row>
    <row r="490" spans="11:14" ht="15.75" customHeight="1" x14ac:dyDescent="0.3">
      <c r="K490" s="8"/>
      <c r="L490" s="8"/>
      <c r="M490" s="8"/>
      <c r="N490" s="8"/>
    </row>
    <row r="491" spans="11:14" ht="15.75" customHeight="1" x14ac:dyDescent="0.3">
      <c r="K491" s="8"/>
      <c r="L491" s="8"/>
      <c r="M491" s="8"/>
      <c r="N491" s="8"/>
    </row>
    <row r="492" spans="11:14" ht="15.75" customHeight="1" x14ac:dyDescent="0.3">
      <c r="K492" s="8"/>
      <c r="L492" s="8"/>
      <c r="M492" s="8"/>
      <c r="N492" s="8"/>
    </row>
    <row r="493" spans="11:14" ht="15.75" customHeight="1" x14ac:dyDescent="0.3">
      <c r="K493" s="8"/>
      <c r="L493" s="8"/>
      <c r="M493" s="8"/>
      <c r="N493" s="8"/>
    </row>
    <row r="494" spans="11:14" ht="15.75" customHeight="1" x14ac:dyDescent="0.3">
      <c r="K494" s="8"/>
      <c r="L494" s="8"/>
      <c r="M494" s="8"/>
      <c r="N494" s="8"/>
    </row>
    <row r="495" spans="11:14" ht="15.75" customHeight="1" x14ac:dyDescent="0.3">
      <c r="K495" s="8"/>
      <c r="L495" s="8"/>
      <c r="M495" s="8"/>
      <c r="N495" s="8"/>
    </row>
    <row r="496" spans="11:14" ht="15.75" customHeight="1" x14ac:dyDescent="0.3">
      <c r="K496" s="8"/>
      <c r="L496" s="8"/>
      <c r="M496" s="8"/>
      <c r="N496" s="8"/>
    </row>
    <row r="497" spans="11:14" ht="15.75" customHeight="1" x14ac:dyDescent="0.3">
      <c r="K497" s="8"/>
      <c r="L497" s="8"/>
      <c r="M497" s="8"/>
      <c r="N497" s="8"/>
    </row>
    <row r="498" spans="11:14" ht="15.75" customHeight="1" x14ac:dyDescent="0.3">
      <c r="K498" s="8"/>
      <c r="L498" s="8"/>
      <c r="M498" s="8"/>
      <c r="N498" s="8"/>
    </row>
    <row r="499" spans="11:14" ht="15.75" customHeight="1" x14ac:dyDescent="0.3">
      <c r="K499" s="8"/>
      <c r="L499" s="8"/>
      <c r="M499" s="8"/>
      <c r="N499" s="8"/>
    </row>
    <row r="500" spans="11:14" ht="15.75" customHeight="1" x14ac:dyDescent="0.3">
      <c r="K500" s="8"/>
      <c r="L500" s="8"/>
      <c r="M500" s="8"/>
      <c r="N500" s="8"/>
    </row>
    <row r="501" spans="11:14" ht="15.75" customHeight="1" x14ac:dyDescent="0.3">
      <c r="K501" s="8"/>
      <c r="L501" s="8"/>
      <c r="M501" s="8"/>
      <c r="N501" s="8"/>
    </row>
    <row r="502" spans="11:14" ht="15.75" customHeight="1" x14ac:dyDescent="0.3">
      <c r="K502" s="8"/>
      <c r="L502" s="8"/>
      <c r="M502" s="8"/>
      <c r="N502" s="8"/>
    </row>
    <row r="503" spans="11:14" ht="15.75" customHeight="1" x14ac:dyDescent="0.3">
      <c r="K503" s="8"/>
      <c r="L503" s="8"/>
      <c r="M503" s="8"/>
      <c r="N503" s="8"/>
    </row>
    <row r="504" spans="11:14" ht="15.75" customHeight="1" x14ac:dyDescent="0.3">
      <c r="K504" s="8"/>
      <c r="L504" s="8"/>
      <c r="M504" s="8"/>
      <c r="N504" s="8"/>
    </row>
    <row r="505" spans="11:14" ht="15.75" customHeight="1" x14ac:dyDescent="0.3">
      <c r="K505" s="8"/>
      <c r="L505" s="8"/>
      <c r="M505" s="8"/>
      <c r="N505" s="8"/>
    </row>
    <row r="506" spans="11:14" ht="15.75" customHeight="1" x14ac:dyDescent="0.3">
      <c r="K506" s="8"/>
      <c r="L506" s="8"/>
      <c r="M506" s="8"/>
      <c r="N506" s="8"/>
    </row>
    <row r="507" spans="11:14" ht="15.75" customHeight="1" x14ac:dyDescent="0.3">
      <c r="K507" s="8"/>
      <c r="L507" s="8"/>
      <c r="M507" s="8"/>
      <c r="N507" s="8"/>
    </row>
    <row r="508" spans="11:14" ht="15.75" customHeight="1" x14ac:dyDescent="0.3">
      <c r="K508" s="8"/>
      <c r="L508" s="8"/>
      <c r="M508" s="8"/>
      <c r="N508" s="8"/>
    </row>
    <row r="509" spans="11:14" ht="15.75" customHeight="1" x14ac:dyDescent="0.3">
      <c r="K509" s="8"/>
      <c r="L509" s="8"/>
      <c r="M509" s="8"/>
      <c r="N509" s="8"/>
    </row>
    <row r="510" spans="11:14" ht="15.75" customHeight="1" x14ac:dyDescent="0.3">
      <c r="K510" s="8"/>
      <c r="L510" s="8"/>
      <c r="M510" s="8"/>
      <c r="N510" s="8"/>
    </row>
    <row r="511" spans="11:14" ht="15.75" customHeight="1" x14ac:dyDescent="0.3">
      <c r="K511" s="8"/>
      <c r="L511" s="8"/>
      <c r="M511" s="8"/>
      <c r="N511" s="8"/>
    </row>
    <row r="512" spans="11:14" ht="15.75" customHeight="1" x14ac:dyDescent="0.3">
      <c r="K512" s="8"/>
      <c r="L512" s="8"/>
      <c r="M512" s="8"/>
      <c r="N512" s="8"/>
    </row>
    <row r="513" spans="11:14" ht="15.75" customHeight="1" x14ac:dyDescent="0.3">
      <c r="K513" s="8"/>
      <c r="L513" s="8"/>
      <c r="M513" s="8"/>
      <c r="N513" s="8"/>
    </row>
    <row r="514" spans="11:14" ht="15.75" customHeight="1" x14ac:dyDescent="0.3">
      <c r="K514" s="8"/>
      <c r="L514" s="8"/>
      <c r="M514" s="8"/>
      <c r="N514" s="8"/>
    </row>
    <row r="515" spans="11:14" ht="15.75" customHeight="1" x14ac:dyDescent="0.3">
      <c r="K515" s="8"/>
      <c r="L515" s="8"/>
      <c r="M515" s="8"/>
      <c r="N515" s="8"/>
    </row>
    <row r="516" spans="11:14" ht="15.75" customHeight="1" x14ac:dyDescent="0.3">
      <c r="K516" s="8"/>
      <c r="L516" s="8"/>
      <c r="M516" s="8"/>
      <c r="N516" s="8"/>
    </row>
    <row r="517" spans="11:14" ht="15.75" customHeight="1" x14ac:dyDescent="0.3">
      <c r="K517" s="8"/>
      <c r="L517" s="8"/>
      <c r="M517" s="8"/>
      <c r="N517" s="8"/>
    </row>
    <row r="518" spans="11:14" ht="15.75" customHeight="1" x14ac:dyDescent="0.3">
      <c r="K518" s="8"/>
      <c r="L518" s="8"/>
      <c r="M518" s="8"/>
      <c r="N518" s="8"/>
    </row>
    <row r="519" spans="11:14" ht="15.75" customHeight="1" x14ac:dyDescent="0.3">
      <c r="K519" s="8"/>
      <c r="L519" s="8"/>
      <c r="M519" s="8"/>
      <c r="N519" s="8"/>
    </row>
    <row r="520" spans="11:14" ht="15.75" customHeight="1" x14ac:dyDescent="0.3">
      <c r="K520" s="8"/>
      <c r="L520" s="8"/>
      <c r="M520" s="8"/>
      <c r="N520" s="8"/>
    </row>
    <row r="521" spans="11:14" ht="15.75" customHeight="1" x14ac:dyDescent="0.3">
      <c r="K521" s="8"/>
      <c r="L521" s="8"/>
      <c r="M521" s="8"/>
      <c r="N521" s="8"/>
    </row>
    <row r="522" spans="11:14" ht="15.75" customHeight="1" x14ac:dyDescent="0.3">
      <c r="K522" s="8"/>
      <c r="L522" s="8"/>
      <c r="M522" s="8"/>
      <c r="N522" s="8"/>
    </row>
    <row r="523" spans="11:14" ht="15.75" customHeight="1" x14ac:dyDescent="0.3">
      <c r="K523" s="8"/>
      <c r="L523" s="8"/>
      <c r="M523" s="8"/>
      <c r="N523" s="8"/>
    </row>
    <row r="524" spans="11:14" ht="15.75" customHeight="1" x14ac:dyDescent="0.3">
      <c r="K524" s="8"/>
      <c r="L524" s="8"/>
      <c r="M524" s="8"/>
      <c r="N524" s="8"/>
    </row>
    <row r="525" spans="11:14" ht="15.75" customHeight="1" x14ac:dyDescent="0.3">
      <c r="K525" s="8"/>
      <c r="L525" s="8"/>
      <c r="M525" s="8"/>
      <c r="N525" s="8"/>
    </row>
    <row r="526" spans="11:14" ht="15.75" customHeight="1" x14ac:dyDescent="0.3">
      <c r="K526" s="8"/>
      <c r="L526" s="8"/>
      <c r="M526" s="8"/>
      <c r="N526" s="8"/>
    </row>
    <row r="527" spans="11:14" ht="15.75" customHeight="1" x14ac:dyDescent="0.3">
      <c r="K527" s="8"/>
      <c r="L527" s="8"/>
      <c r="M527" s="8"/>
      <c r="N527" s="8"/>
    </row>
    <row r="528" spans="11:14" ht="15.75" customHeight="1" x14ac:dyDescent="0.3">
      <c r="K528" s="8"/>
      <c r="L528" s="8"/>
      <c r="M528" s="8"/>
      <c r="N528" s="8"/>
    </row>
    <row r="529" spans="11:14" ht="15.75" customHeight="1" x14ac:dyDescent="0.3">
      <c r="K529" s="8"/>
      <c r="L529" s="8"/>
      <c r="M529" s="8"/>
      <c r="N529" s="8"/>
    </row>
    <row r="530" spans="11:14" ht="15.75" customHeight="1" x14ac:dyDescent="0.3">
      <c r="K530" s="8"/>
      <c r="L530" s="8"/>
      <c r="M530" s="8"/>
      <c r="N530" s="8"/>
    </row>
    <row r="531" spans="11:14" ht="15.75" customHeight="1" x14ac:dyDescent="0.3">
      <c r="K531" s="8"/>
      <c r="L531" s="8"/>
      <c r="M531" s="8"/>
      <c r="N531" s="8"/>
    </row>
    <row r="532" spans="11:14" ht="15.75" customHeight="1" x14ac:dyDescent="0.3">
      <c r="K532" s="8"/>
      <c r="L532" s="8"/>
      <c r="M532" s="8"/>
      <c r="N532" s="8"/>
    </row>
    <row r="533" spans="11:14" ht="15.75" customHeight="1" x14ac:dyDescent="0.3">
      <c r="K533" s="8"/>
      <c r="L533" s="8"/>
      <c r="M533" s="8"/>
      <c r="N533" s="8"/>
    </row>
    <row r="534" spans="11:14" ht="15.75" customHeight="1" x14ac:dyDescent="0.3">
      <c r="K534" s="8"/>
      <c r="L534" s="8"/>
      <c r="M534" s="8"/>
      <c r="N534" s="8"/>
    </row>
    <row r="535" spans="11:14" ht="15.75" customHeight="1" x14ac:dyDescent="0.3">
      <c r="K535" s="8"/>
      <c r="L535" s="8"/>
      <c r="M535" s="8"/>
      <c r="N535" s="8"/>
    </row>
    <row r="536" spans="11:14" ht="15.75" customHeight="1" x14ac:dyDescent="0.3">
      <c r="K536" s="8"/>
      <c r="L536" s="8"/>
      <c r="M536" s="8"/>
      <c r="N536" s="8"/>
    </row>
    <row r="537" spans="11:14" ht="15.75" customHeight="1" x14ac:dyDescent="0.3">
      <c r="K537" s="8"/>
      <c r="L537" s="8"/>
      <c r="M537" s="8"/>
      <c r="N537" s="8"/>
    </row>
    <row r="538" spans="11:14" ht="15.75" customHeight="1" x14ac:dyDescent="0.3">
      <c r="K538" s="8"/>
      <c r="L538" s="8"/>
      <c r="M538" s="8"/>
      <c r="N538" s="8"/>
    </row>
    <row r="539" spans="11:14" ht="15.75" customHeight="1" x14ac:dyDescent="0.3">
      <c r="K539" s="8"/>
      <c r="L539" s="8"/>
      <c r="M539" s="8"/>
      <c r="N539" s="8"/>
    </row>
    <row r="540" spans="11:14" ht="15.75" customHeight="1" x14ac:dyDescent="0.3">
      <c r="K540" s="8"/>
      <c r="L540" s="8"/>
      <c r="M540" s="8"/>
      <c r="N540" s="8"/>
    </row>
    <row r="541" spans="11:14" ht="15.75" customHeight="1" x14ac:dyDescent="0.3">
      <c r="K541" s="8"/>
      <c r="L541" s="8"/>
      <c r="M541" s="8"/>
      <c r="N541" s="8"/>
    </row>
    <row r="542" spans="11:14" ht="15.75" customHeight="1" x14ac:dyDescent="0.3">
      <c r="K542" s="8"/>
      <c r="L542" s="8"/>
      <c r="M542" s="8"/>
      <c r="N542" s="8"/>
    </row>
    <row r="543" spans="11:14" ht="15.75" customHeight="1" x14ac:dyDescent="0.3">
      <c r="K543" s="8"/>
      <c r="L543" s="8"/>
      <c r="M543" s="8"/>
      <c r="N543" s="8"/>
    </row>
    <row r="544" spans="11:14" ht="15.75" customHeight="1" x14ac:dyDescent="0.3">
      <c r="K544" s="8"/>
      <c r="L544" s="8"/>
      <c r="M544" s="8"/>
      <c r="N544" s="8"/>
    </row>
    <row r="545" spans="11:14" ht="15.75" customHeight="1" x14ac:dyDescent="0.3">
      <c r="K545" s="8"/>
      <c r="L545" s="8"/>
      <c r="M545" s="8"/>
      <c r="N545" s="8"/>
    </row>
    <row r="546" spans="11:14" ht="15.75" customHeight="1" x14ac:dyDescent="0.3">
      <c r="K546" s="8"/>
      <c r="L546" s="8"/>
      <c r="M546" s="8"/>
      <c r="N546" s="8"/>
    </row>
    <row r="547" spans="11:14" ht="15.75" customHeight="1" x14ac:dyDescent="0.3">
      <c r="K547" s="8"/>
      <c r="L547" s="8"/>
      <c r="M547" s="8"/>
      <c r="N547" s="8"/>
    </row>
    <row r="548" spans="11:14" ht="15.75" customHeight="1" x14ac:dyDescent="0.3">
      <c r="K548" s="8"/>
      <c r="L548" s="8"/>
      <c r="M548" s="8"/>
      <c r="N548" s="8"/>
    </row>
    <row r="549" spans="11:14" ht="15.75" customHeight="1" x14ac:dyDescent="0.3">
      <c r="K549" s="8"/>
      <c r="L549" s="8"/>
      <c r="M549" s="8"/>
      <c r="N549" s="8"/>
    </row>
    <row r="550" spans="11:14" ht="15.75" customHeight="1" x14ac:dyDescent="0.3">
      <c r="K550" s="8"/>
      <c r="L550" s="8"/>
      <c r="M550" s="8"/>
      <c r="N550" s="8"/>
    </row>
    <row r="551" spans="11:14" ht="15.75" customHeight="1" x14ac:dyDescent="0.3">
      <c r="K551" s="8"/>
      <c r="L551" s="8"/>
      <c r="M551" s="8"/>
      <c r="N551" s="8"/>
    </row>
    <row r="552" spans="11:14" ht="15.75" customHeight="1" x14ac:dyDescent="0.3">
      <c r="K552" s="8"/>
      <c r="L552" s="8"/>
      <c r="M552" s="8"/>
      <c r="N552" s="8"/>
    </row>
    <row r="553" spans="11:14" ht="15.75" customHeight="1" x14ac:dyDescent="0.3">
      <c r="K553" s="8"/>
      <c r="L553" s="8"/>
      <c r="M553" s="8"/>
      <c r="N553" s="8"/>
    </row>
    <row r="554" spans="11:14" ht="15.75" customHeight="1" x14ac:dyDescent="0.3">
      <c r="K554" s="8"/>
      <c r="L554" s="8"/>
      <c r="M554" s="8"/>
      <c r="N554" s="8"/>
    </row>
    <row r="555" spans="11:14" ht="15.75" customHeight="1" x14ac:dyDescent="0.3">
      <c r="K555" s="8"/>
      <c r="L555" s="8"/>
      <c r="M555" s="8"/>
      <c r="N555" s="8"/>
    </row>
    <row r="556" spans="11:14" ht="15.75" customHeight="1" x14ac:dyDescent="0.3">
      <c r="K556" s="8"/>
      <c r="L556" s="8"/>
      <c r="M556" s="8"/>
      <c r="N556" s="8"/>
    </row>
    <row r="557" spans="11:14" ht="15.75" customHeight="1" x14ac:dyDescent="0.3">
      <c r="K557" s="8"/>
      <c r="L557" s="8"/>
      <c r="M557" s="8"/>
      <c r="N557" s="8"/>
    </row>
    <row r="558" spans="11:14" ht="15.75" customHeight="1" x14ac:dyDescent="0.3">
      <c r="K558" s="8"/>
      <c r="L558" s="8"/>
      <c r="M558" s="8"/>
      <c r="N558" s="8"/>
    </row>
    <row r="559" spans="11:14" ht="15.75" customHeight="1" x14ac:dyDescent="0.3">
      <c r="K559" s="8"/>
      <c r="L559" s="8"/>
      <c r="M559" s="8"/>
      <c r="N559" s="8"/>
    </row>
    <row r="560" spans="11:14" ht="15.75" customHeight="1" x14ac:dyDescent="0.3">
      <c r="K560" s="8"/>
      <c r="L560" s="8"/>
      <c r="M560" s="8"/>
      <c r="N560" s="8"/>
    </row>
    <row r="561" spans="11:14" ht="15.75" customHeight="1" x14ac:dyDescent="0.3">
      <c r="K561" s="8"/>
      <c r="L561" s="8"/>
      <c r="M561" s="8"/>
      <c r="N561" s="8"/>
    </row>
    <row r="562" spans="11:14" ht="15.75" customHeight="1" x14ac:dyDescent="0.3">
      <c r="K562" s="8"/>
      <c r="L562" s="8"/>
      <c r="M562" s="8"/>
      <c r="N562" s="8"/>
    </row>
    <row r="563" spans="11:14" ht="15.75" customHeight="1" x14ac:dyDescent="0.3">
      <c r="K563" s="8"/>
      <c r="L563" s="8"/>
      <c r="M563" s="8"/>
      <c r="N563" s="8"/>
    </row>
    <row r="564" spans="11:14" ht="15.75" customHeight="1" x14ac:dyDescent="0.3">
      <c r="K564" s="8"/>
      <c r="L564" s="8"/>
      <c r="M564" s="8"/>
      <c r="N564" s="8"/>
    </row>
    <row r="565" spans="11:14" ht="15.75" customHeight="1" x14ac:dyDescent="0.3">
      <c r="K565" s="8"/>
      <c r="L565" s="8"/>
      <c r="M565" s="8"/>
      <c r="N565" s="8"/>
    </row>
    <row r="566" spans="11:14" ht="15.75" customHeight="1" x14ac:dyDescent="0.3">
      <c r="K566" s="8"/>
      <c r="L566" s="8"/>
      <c r="M566" s="8"/>
      <c r="N566" s="8"/>
    </row>
    <row r="567" spans="11:14" ht="15.75" customHeight="1" x14ac:dyDescent="0.3">
      <c r="K567" s="8"/>
      <c r="L567" s="8"/>
      <c r="M567" s="8"/>
      <c r="N567" s="8"/>
    </row>
    <row r="568" spans="11:14" ht="15.75" customHeight="1" x14ac:dyDescent="0.3">
      <c r="K568" s="8"/>
      <c r="L568" s="8"/>
      <c r="M568" s="8"/>
      <c r="N568" s="8"/>
    </row>
    <row r="569" spans="11:14" ht="15.75" customHeight="1" x14ac:dyDescent="0.3">
      <c r="K569" s="8"/>
      <c r="L569" s="8"/>
      <c r="M569" s="8"/>
      <c r="N569" s="8"/>
    </row>
    <row r="570" spans="11:14" ht="15.75" customHeight="1" x14ac:dyDescent="0.3">
      <c r="K570" s="8"/>
      <c r="L570" s="8"/>
      <c r="M570" s="8"/>
      <c r="N570" s="8"/>
    </row>
    <row r="571" spans="11:14" ht="15.75" customHeight="1" x14ac:dyDescent="0.3">
      <c r="K571" s="8"/>
      <c r="L571" s="8"/>
      <c r="M571" s="8"/>
      <c r="N571" s="8"/>
    </row>
    <row r="572" spans="11:14" ht="15.75" customHeight="1" x14ac:dyDescent="0.3">
      <c r="K572" s="8"/>
      <c r="L572" s="8"/>
      <c r="M572" s="8"/>
      <c r="N572" s="8"/>
    </row>
    <row r="573" spans="11:14" ht="15.75" customHeight="1" x14ac:dyDescent="0.3">
      <c r="K573" s="8"/>
      <c r="L573" s="8"/>
      <c r="M573" s="8"/>
      <c r="N573" s="8"/>
    </row>
    <row r="574" spans="11:14" ht="15.75" customHeight="1" x14ac:dyDescent="0.3">
      <c r="K574" s="8"/>
      <c r="L574" s="8"/>
      <c r="M574" s="8"/>
      <c r="N574" s="8"/>
    </row>
    <row r="575" spans="11:14" ht="15.75" customHeight="1" x14ac:dyDescent="0.3">
      <c r="K575" s="8"/>
      <c r="L575" s="8"/>
      <c r="M575" s="8"/>
      <c r="N575" s="8"/>
    </row>
    <row r="576" spans="11:14" ht="15.75" customHeight="1" x14ac:dyDescent="0.3">
      <c r="K576" s="8"/>
      <c r="L576" s="8"/>
      <c r="M576" s="8"/>
      <c r="N576" s="8"/>
    </row>
    <row r="577" spans="11:14" ht="15.75" customHeight="1" x14ac:dyDescent="0.3">
      <c r="K577" s="8"/>
      <c r="L577" s="8"/>
      <c r="M577" s="8"/>
      <c r="N577" s="8"/>
    </row>
    <row r="578" spans="11:14" ht="15.75" customHeight="1" x14ac:dyDescent="0.3">
      <c r="K578" s="8"/>
      <c r="L578" s="8"/>
      <c r="M578" s="8"/>
      <c r="N578" s="8"/>
    </row>
    <row r="579" spans="11:14" ht="15.75" customHeight="1" x14ac:dyDescent="0.3">
      <c r="K579" s="8"/>
      <c r="L579" s="8"/>
      <c r="M579" s="8"/>
      <c r="N579" s="8"/>
    </row>
    <row r="580" spans="11:14" ht="15.75" customHeight="1" x14ac:dyDescent="0.3">
      <c r="K580" s="8"/>
      <c r="L580" s="8"/>
      <c r="M580" s="8"/>
      <c r="N580" s="8"/>
    </row>
    <row r="581" spans="11:14" ht="15.75" customHeight="1" x14ac:dyDescent="0.3">
      <c r="K581" s="8"/>
      <c r="L581" s="8"/>
      <c r="M581" s="8"/>
      <c r="N581" s="8"/>
    </row>
    <row r="582" spans="11:14" ht="15.75" customHeight="1" x14ac:dyDescent="0.3">
      <c r="K582" s="8"/>
      <c r="L582" s="8"/>
      <c r="M582" s="8"/>
      <c r="N582" s="8"/>
    </row>
    <row r="583" spans="11:14" ht="15.75" customHeight="1" x14ac:dyDescent="0.3">
      <c r="K583" s="8"/>
      <c r="L583" s="8"/>
      <c r="M583" s="8"/>
      <c r="N583" s="8"/>
    </row>
    <row r="584" spans="11:14" ht="15.75" customHeight="1" x14ac:dyDescent="0.3">
      <c r="K584" s="8"/>
      <c r="L584" s="8"/>
      <c r="M584" s="8"/>
      <c r="N584" s="8"/>
    </row>
    <row r="585" spans="11:14" ht="15.75" customHeight="1" x14ac:dyDescent="0.3">
      <c r="K585" s="8"/>
      <c r="L585" s="8"/>
      <c r="M585" s="8"/>
      <c r="N585" s="8"/>
    </row>
    <row r="586" spans="11:14" ht="15.75" customHeight="1" x14ac:dyDescent="0.3">
      <c r="K586" s="8"/>
      <c r="L586" s="8"/>
      <c r="M586" s="8"/>
      <c r="N586" s="8"/>
    </row>
    <row r="587" spans="11:14" ht="15.75" customHeight="1" x14ac:dyDescent="0.3">
      <c r="K587" s="8"/>
      <c r="L587" s="8"/>
      <c r="M587" s="8"/>
      <c r="N587" s="8"/>
    </row>
    <row r="588" spans="11:14" ht="15.75" customHeight="1" x14ac:dyDescent="0.3">
      <c r="K588" s="8"/>
      <c r="L588" s="8"/>
      <c r="M588" s="8"/>
      <c r="N588" s="8"/>
    </row>
    <row r="589" spans="11:14" ht="15.75" customHeight="1" x14ac:dyDescent="0.3">
      <c r="K589" s="8"/>
      <c r="L589" s="8"/>
      <c r="M589" s="8"/>
      <c r="N589" s="8"/>
    </row>
    <row r="590" spans="11:14" ht="15.75" customHeight="1" x14ac:dyDescent="0.3">
      <c r="K590" s="8"/>
      <c r="L590" s="8"/>
      <c r="M590" s="8"/>
      <c r="N590" s="8"/>
    </row>
    <row r="591" spans="11:14" ht="15.75" customHeight="1" x14ac:dyDescent="0.3">
      <c r="K591" s="8"/>
      <c r="L591" s="8"/>
      <c r="M591" s="8"/>
      <c r="N591" s="8"/>
    </row>
    <row r="592" spans="11:14" ht="15.75" customHeight="1" x14ac:dyDescent="0.3">
      <c r="K592" s="8"/>
      <c r="L592" s="8"/>
      <c r="M592" s="8"/>
      <c r="N592" s="8"/>
    </row>
    <row r="593" spans="11:14" ht="15.75" customHeight="1" x14ac:dyDescent="0.3">
      <c r="K593" s="8"/>
      <c r="L593" s="8"/>
      <c r="M593" s="8"/>
      <c r="N593" s="8"/>
    </row>
    <row r="594" spans="11:14" ht="15.75" customHeight="1" x14ac:dyDescent="0.3">
      <c r="K594" s="8"/>
      <c r="L594" s="8"/>
      <c r="M594" s="8"/>
      <c r="N594" s="8"/>
    </row>
    <row r="595" spans="11:14" ht="15.75" customHeight="1" x14ac:dyDescent="0.3">
      <c r="K595" s="8"/>
      <c r="L595" s="8"/>
      <c r="M595" s="8"/>
      <c r="N595" s="8"/>
    </row>
    <row r="596" spans="11:14" ht="15.75" customHeight="1" x14ac:dyDescent="0.3">
      <c r="K596" s="8"/>
      <c r="L596" s="8"/>
      <c r="M596" s="8"/>
      <c r="N596" s="8"/>
    </row>
    <row r="597" spans="11:14" ht="15.75" customHeight="1" x14ac:dyDescent="0.3">
      <c r="K597" s="8"/>
      <c r="L597" s="8"/>
      <c r="M597" s="8"/>
      <c r="N597" s="8"/>
    </row>
    <row r="598" spans="11:14" ht="15.75" customHeight="1" x14ac:dyDescent="0.3">
      <c r="K598" s="8"/>
      <c r="L598" s="8"/>
      <c r="M598" s="8"/>
      <c r="N598" s="8"/>
    </row>
    <row r="599" spans="11:14" ht="15.75" customHeight="1" x14ac:dyDescent="0.3">
      <c r="K599" s="8"/>
      <c r="L599" s="8"/>
      <c r="M599" s="8"/>
      <c r="N599" s="8"/>
    </row>
    <row r="600" spans="11:14" ht="15.75" customHeight="1" x14ac:dyDescent="0.3">
      <c r="K600" s="8"/>
      <c r="L600" s="8"/>
      <c r="M600" s="8"/>
      <c r="N600" s="8"/>
    </row>
    <row r="601" spans="11:14" ht="15.75" customHeight="1" x14ac:dyDescent="0.3">
      <c r="K601" s="8"/>
      <c r="L601" s="8"/>
      <c r="M601" s="8"/>
      <c r="N601" s="8"/>
    </row>
    <row r="602" spans="11:14" ht="15.75" customHeight="1" x14ac:dyDescent="0.3">
      <c r="K602" s="8"/>
      <c r="L602" s="8"/>
      <c r="M602" s="8"/>
      <c r="N602" s="8"/>
    </row>
    <row r="603" spans="11:14" ht="15.75" customHeight="1" x14ac:dyDescent="0.3">
      <c r="K603" s="8"/>
      <c r="L603" s="8"/>
      <c r="M603" s="8"/>
      <c r="N603" s="8"/>
    </row>
    <row r="604" spans="11:14" ht="15.75" customHeight="1" x14ac:dyDescent="0.3">
      <c r="K604" s="8"/>
      <c r="L604" s="8"/>
      <c r="M604" s="8"/>
      <c r="N604" s="8"/>
    </row>
    <row r="605" spans="11:14" ht="15.75" customHeight="1" x14ac:dyDescent="0.3">
      <c r="K605" s="8"/>
      <c r="L605" s="8"/>
      <c r="M605" s="8"/>
      <c r="N605" s="8"/>
    </row>
    <row r="606" spans="11:14" ht="15.75" customHeight="1" x14ac:dyDescent="0.3">
      <c r="K606" s="8"/>
      <c r="L606" s="8"/>
      <c r="M606" s="8"/>
      <c r="N606" s="8"/>
    </row>
    <row r="607" spans="11:14" ht="15.75" customHeight="1" x14ac:dyDescent="0.3">
      <c r="K607" s="8"/>
      <c r="L607" s="8"/>
      <c r="M607" s="8"/>
      <c r="N607" s="8"/>
    </row>
    <row r="608" spans="11:14" ht="15.75" customHeight="1" x14ac:dyDescent="0.3">
      <c r="K608" s="8"/>
      <c r="L608" s="8"/>
      <c r="M608" s="8"/>
      <c r="N608" s="8"/>
    </row>
    <row r="609" spans="11:14" ht="15.75" customHeight="1" x14ac:dyDescent="0.3">
      <c r="K609" s="8"/>
      <c r="L609" s="8"/>
      <c r="M609" s="8"/>
      <c r="N609" s="8"/>
    </row>
    <row r="610" spans="11:14" ht="15.75" customHeight="1" x14ac:dyDescent="0.3">
      <c r="K610" s="8"/>
      <c r="L610" s="8"/>
      <c r="M610" s="8"/>
      <c r="N610" s="8"/>
    </row>
    <row r="611" spans="11:14" ht="15.75" customHeight="1" x14ac:dyDescent="0.3">
      <c r="K611" s="8"/>
      <c r="L611" s="8"/>
      <c r="M611" s="8"/>
      <c r="N611" s="8"/>
    </row>
    <row r="612" spans="11:14" ht="15.75" customHeight="1" x14ac:dyDescent="0.3">
      <c r="K612" s="8"/>
      <c r="L612" s="8"/>
      <c r="M612" s="8"/>
      <c r="N612" s="8"/>
    </row>
    <row r="613" spans="11:14" ht="15.75" customHeight="1" x14ac:dyDescent="0.3">
      <c r="K613" s="8"/>
      <c r="L613" s="8"/>
      <c r="M613" s="8"/>
      <c r="N613" s="8"/>
    </row>
    <row r="614" spans="11:14" ht="15.75" customHeight="1" x14ac:dyDescent="0.3">
      <c r="K614" s="8"/>
      <c r="L614" s="8"/>
      <c r="M614" s="8"/>
      <c r="N614" s="8"/>
    </row>
    <row r="615" spans="11:14" ht="15.75" customHeight="1" x14ac:dyDescent="0.3">
      <c r="K615" s="8"/>
      <c r="L615" s="8"/>
      <c r="M615" s="8"/>
      <c r="N615" s="8"/>
    </row>
    <row r="616" spans="11:14" ht="15.75" customHeight="1" x14ac:dyDescent="0.3">
      <c r="K616" s="8"/>
      <c r="L616" s="8"/>
      <c r="M616" s="8"/>
      <c r="N616" s="8"/>
    </row>
    <row r="617" spans="11:14" ht="15.75" customHeight="1" x14ac:dyDescent="0.3">
      <c r="K617" s="8"/>
      <c r="L617" s="8"/>
      <c r="M617" s="8"/>
      <c r="N617" s="8"/>
    </row>
    <row r="618" spans="11:14" ht="15.75" customHeight="1" x14ac:dyDescent="0.3">
      <c r="K618" s="8"/>
      <c r="L618" s="8"/>
      <c r="M618" s="8"/>
      <c r="N618" s="8"/>
    </row>
    <row r="619" spans="11:14" ht="15.75" customHeight="1" x14ac:dyDescent="0.3">
      <c r="K619" s="8"/>
      <c r="L619" s="8"/>
      <c r="M619" s="8"/>
      <c r="N619" s="8"/>
    </row>
    <row r="620" spans="11:14" ht="15.75" customHeight="1" x14ac:dyDescent="0.3">
      <c r="K620" s="8"/>
      <c r="L620" s="8"/>
      <c r="M620" s="8"/>
      <c r="N620" s="8"/>
    </row>
    <row r="621" spans="11:14" ht="15.75" customHeight="1" x14ac:dyDescent="0.3">
      <c r="K621" s="8"/>
      <c r="L621" s="8"/>
      <c r="M621" s="8"/>
      <c r="N621" s="8"/>
    </row>
    <row r="622" spans="11:14" ht="15.75" customHeight="1" x14ac:dyDescent="0.3">
      <c r="K622" s="8"/>
      <c r="L622" s="8"/>
      <c r="M622" s="8"/>
      <c r="N622" s="8"/>
    </row>
    <row r="623" spans="11:14" ht="15.75" customHeight="1" x14ac:dyDescent="0.3">
      <c r="K623" s="8"/>
      <c r="L623" s="8"/>
      <c r="M623" s="8"/>
      <c r="N623" s="8"/>
    </row>
    <row r="624" spans="11:14" ht="15.75" customHeight="1" x14ac:dyDescent="0.3">
      <c r="K624" s="8"/>
      <c r="L624" s="8"/>
      <c r="M624" s="8"/>
      <c r="N624" s="8"/>
    </row>
    <row r="625" spans="11:14" ht="15.75" customHeight="1" x14ac:dyDescent="0.3">
      <c r="K625" s="8"/>
      <c r="L625" s="8"/>
      <c r="M625" s="8"/>
      <c r="N625" s="8"/>
    </row>
    <row r="626" spans="11:14" ht="15.75" customHeight="1" x14ac:dyDescent="0.3">
      <c r="K626" s="8"/>
      <c r="L626" s="8"/>
      <c r="M626" s="8"/>
      <c r="N626" s="8"/>
    </row>
    <row r="627" spans="11:14" ht="15.75" customHeight="1" x14ac:dyDescent="0.3">
      <c r="K627" s="8"/>
      <c r="L627" s="8"/>
      <c r="M627" s="8"/>
      <c r="N627" s="8"/>
    </row>
    <row r="628" spans="11:14" ht="15.75" customHeight="1" x14ac:dyDescent="0.3">
      <c r="K628" s="8"/>
      <c r="L628" s="8"/>
      <c r="M628" s="8"/>
      <c r="N628" s="8"/>
    </row>
    <row r="629" spans="11:14" ht="15.75" customHeight="1" x14ac:dyDescent="0.3">
      <c r="K629" s="8"/>
      <c r="L629" s="8"/>
      <c r="M629" s="8"/>
      <c r="N629" s="8"/>
    </row>
    <row r="630" spans="11:14" ht="15.75" customHeight="1" x14ac:dyDescent="0.3">
      <c r="K630" s="8"/>
      <c r="L630" s="8"/>
      <c r="M630" s="8"/>
      <c r="N630" s="8"/>
    </row>
    <row r="631" spans="11:14" ht="15.75" customHeight="1" x14ac:dyDescent="0.3">
      <c r="K631" s="8"/>
      <c r="L631" s="8"/>
      <c r="M631" s="8"/>
      <c r="N631" s="8"/>
    </row>
    <row r="632" spans="11:14" ht="15.75" customHeight="1" x14ac:dyDescent="0.3">
      <c r="K632" s="8"/>
      <c r="L632" s="8"/>
      <c r="M632" s="8"/>
      <c r="N632" s="8"/>
    </row>
    <row r="633" spans="11:14" ht="15.75" customHeight="1" x14ac:dyDescent="0.3">
      <c r="K633" s="8"/>
      <c r="L633" s="8"/>
      <c r="M633" s="8"/>
      <c r="N633" s="8"/>
    </row>
    <row r="634" spans="11:14" ht="15.75" customHeight="1" x14ac:dyDescent="0.3">
      <c r="K634" s="8"/>
      <c r="L634" s="8"/>
      <c r="M634" s="8"/>
      <c r="N634" s="8"/>
    </row>
    <row r="635" spans="11:14" ht="15.75" customHeight="1" x14ac:dyDescent="0.3">
      <c r="K635" s="8"/>
      <c r="L635" s="8"/>
      <c r="M635" s="8"/>
      <c r="N635" s="8"/>
    </row>
    <row r="636" spans="11:14" ht="15.75" customHeight="1" x14ac:dyDescent="0.3">
      <c r="K636" s="8"/>
      <c r="L636" s="8"/>
      <c r="M636" s="8"/>
      <c r="N636" s="8"/>
    </row>
    <row r="637" spans="11:14" ht="15.75" customHeight="1" x14ac:dyDescent="0.3">
      <c r="K637" s="8"/>
      <c r="L637" s="8"/>
      <c r="M637" s="8"/>
      <c r="N637" s="8"/>
    </row>
    <row r="638" spans="11:14" ht="15.75" customHeight="1" x14ac:dyDescent="0.3">
      <c r="K638" s="8"/>
      <c r="L638" s="8"/>
      <c r="M638" s="8"/>
      <c r="N638" s="8"/>
    </row>
    <row r="639" spans="11:14" ht="15.75" customHeight="1" x14ac:dyDescent="0.3">
      <c r="K639" s="8"/>
      <c r="L639" s="8"/>
      <c r="M639" s="8"/>
      <c r="N639" s="8"/>
    </row>
    <row r="640" spans="11:14" ht="15.75" customHeight="1" x14ac:dyDescent="0.3">
      <c r="K640" s="8"/>
      <c r="L640" s="8"/>
      <c r="M640" s="8"/>
      <c r="N640" s="8"/>
    </row>
    <row r="641" spans="11:14" ht="15.75" customHeight="1" x14ac:dyDescent="0.3">
      <c r="K641" s="8"/>
      <c r="L641" s="8"/>
      <c r="M641" s="8"/>
      <c r="N641" s="8"/>
    </row>
    <row r="642" spans="11:14" ht="15.75" customHeight="1" x14ac:dyDescent="0.3">
      <c r="K642" s="8"/>
      <c r="L642" s="8"/>
      <c r="M642" s="8"/>
      <c r="N642" s="8"/>
    </row>
    <row r="643" spans="11:14" ht="15.75" customHeight="1" x14ac:dyDescent="0.3">
      <c r="K643" s="8"/>
      <c r="L643" s="8"/>
      <c r="M643" s="8"/>
      <c r="N643" s="8"/>
    </row>
    <row r="644" spans="11:14" ht="15.75" customHeight="1" x14ac:dyDescent="0.3">
      <c r="K644" s="8"/>
      <c r="L644" s="8"/>
      <c r="M644" s="8"/>
      <c r="N644" s="8"/>
    </row>
    <row r="645" spans="11:14" ht="15.75" customHeight="1" x14ac:dyDescent="0.3">
      <c r="K645" s="8"/>
      <c r="L645" s="8"/>
      <c r="M645" s="8"/>
      <c r="N645" s="8"/>
    </row>
    <row r="646" spans="11:14" ht="15.75" customHeight="1" x14ac:dyDescent="0.3">
      <c r="K646" s="8"/>
      <c r="L646" s="8"/>
      <c r="M646" s="8"/>
      <c r="N646" s="8"/>
    </row>
    <row r="647" spans="11:14" ht="15.75" customHeight="1" x14ac:dyDescent="0.3">
      <c r="K647" s="8"/>
      <c r="L647" s="8"/>
      <c r="M647" s="8"/>
      <c r="N647" s="8"/>
    </row>
    <row r="648" spans="11:14" ht="15.75" customHeight="1" x14ac:dyDescent="0.3">
      <c r="K648" s="8"/>
      <c r="L648" s="8"/>
      <c r="M648" s="8"/>
      <c r="N648" s="8"/>
    </row>
    <row r="649" spans="11:14" ht="15.75" customHeight="1" x14ac:dyDescent="0.3">
      <c r="K649" s="8"/>
      <c r="L649" s="8"/>
      <c r="M649" s="8"/>
      <c r="N649" s="8"/>
    </row>
    <row r="650" spans="11:14" ht="15.75" customHeight="1" x14ac:dyDescent="0.3">
      <c r="K650" s="8"/>
      <c r="L650" s="8"/>
      <c r="M650" s="8"/>
      <c r="N650" s="8"/>
    </row>
    <row r="651" spans="11:14" ht="15.75" customHeight="1" x14ac:dyDescent="0.3">
      <c r="K651" s="8"/>
      <c r="L651" s="8"/>
      <c r="M651" s="8"/>
      <c r="N651" s="8"/>
    </row>
    <row r="652" spans="11:14" ht="15.75" customHeight="1" x14ac:dyDescent="0.3">
      <c r="K652" s="8"/>
      <c r="L652" s="8"/>
      <c r="M652" s="8"/>
      <c r="N652" s="8"/>
    </row>
    <row r="653" spans="11:14" ht="15.75" customHeight="1" x14ac:dyDescent="0.3">
      <c r="K653" s="8"/>
      <c r="L653" s="8"/>
      <c r="M653" s="8"/>
      <c r="N653" s="8"/>
    </row>
    <row r="654" spans="11:14" ht="15.75" customHeight="1" x14ac:dyDescent="0.3">
      <c r="K654" s="8"/>
      <c r="L654" s="8"/>
      <c r="M654" s="8"/>
      <c r="N654" s="8"/>
    </row>
    <row r="655" spans="11:14" ht="15.75" customHeight="1" x14ac:dyDescent="0.3">
      <c r="K655" s="8"/>
      <c r="L655" s="8"/>
      <c r="M655" s="8"/>
      <c r="N655" s="8"/>
    </row>
    <row r="656" spans="11:14" ht="15.75" customHeight="1" x14ac:dyDescent="0.3">
      <c r="K656" s="8"/>
      <c r="L656" s="8"/>
      <c r="M656" s="8"/>
      <c r="N656" s="8"/>
    </row>
    <row r="657" spans="11:14" ht="15.75" customHeight="1" x14ac:dyDescent="0.3">
      <c r="K657" s="8"/>
      <c r="L657" s="8"/>
      <c r="M657" s="8"/>
      <c r="N657" s="8"/>
    </row>
    <row r="658" spans="11:14" ht="15.75" customHeight="1" x14ac:dyDescent="0.3">
      <c r="K658" s="8"/>
      <c r="L658" s="8"/>
      <c r="M658" s="8"/>
      <c r="N658" s="8"/>
    </row>
    <row r="659" spans="11:14" ht="15.75" customHeight="1" x14ac:dyDescent="0.3">
      <c r="K659" s="8"/>
      <c r="L659" s="8"/>
      <c r="M659" s="8"/>
      <c r="N659" s="8"/>
    </row>
    <row r="660" spans="11:14" ht="15.75" customHeight="1" x14ac:dyDescent="0.3">
      <c r="K660" s="8"/>
      <c r="L660" s="8"/>
      <c r="M660" s="8"/>
      <c r="N660" s="8"/>
    </row>
    <row r="661" spans="11:14" ht="15.75" customHeight="1" x14ac:dyDescent="0.3">
      <c r="K661" s="8"/>
      <c r="L661" s="8"/>
      <c r="M661" s="8"/>
      <c r="N661" s="8"/>
    </row>
    <row r="662" spans="11:14" ht="15.75" customHeight="1" x14ac:dyDescent="0.3">
      <c r="K662" s="8"/>
      <c r="L662" s="8"/>
      <c r="M662" s="8"/>
      <c r="N662" s="8"/>
    </row>
    <row r="663" spans="11:14" ht="15.75" customHeight="1" x14ac:dyDescent="0.3">
      <c r="K663" s="8"/>
      <c r="L663" s="8"/>
      <c r="M663" s="8"/>
      <c r="N663" s="8"/>
    </row>
    <row r="664" spans="11:14" ht="15.75" customHeight="1" x14ac:dyDescent="0.3">
      <c r="K664" s="8"/>
      <c r="L664" s="8"/>
      <c r="M664" s="8"/>
      <c r="N664" s="8"/>
    </row>
    <row r="665" spans="11:14" ht="15.75" customHeight="1" x14ac:dyDescent="0.3">
      <c r="K665" s="8"/>
      <c r="L665" s="8"/>
      <c r="M665" s="8"/>
      <c r="N665" s="8"/>
    </row>
    <row r="666" spans="11:14" ht="15.75" customHeight="1" x14ac:dyDescent="0.3">
      <c r="K666" s="8"/>
      <c r="L666" s="8"/>
      <c r="M666" s="8"/>
      <c r="N666" s="8"/>
    </row>
    <row r="667" spans="11:14" ht="15.75" customHeight="1" x14ac:dyDescent="0.3">
      <c r="K667" s="8"/>
      <c r="L667" s="8"/>
      <c r="M667" s="8"/>
      <c r="N667" s="8"/>
    </row>
    <row r="668" spans="11:14" ht="15.75" customHeight="1" x14ac:dyDescent="0.3">
      <c r="K668" s="8"/>
      <c r="L668" s="8"/>
      <c r="M668" s="8"/>
      <c r="N668" s="8"/>
    </row>
    <row r="669" spans="11:14" ht="15.75" customHeight="1" x14ac:dyDescent="0.3">
      <c r="K669" s="8"/>
      <c r="L669" s="8"/>
      <c r="M669" s="8"/>
      <c r="N669" s="8"/>
    </row>
    <row r="670" spans="11:14" ht="15.75" customHeight="1" x14ac:dyDescent="0.3">
      <c r="K670" s="8"/>
      <c r="L670" s="8"/>
      <c r="M670" s="8"/>
      <c r="N670" s="8"/>
    </row>
    <row r="671" spans="11:14" ht="15.75" customHeight="1" x14ac:dyDescent="0.3">
      <c r="K671" s="8"/>
      <c r="L671" s="8"/>
      <c r="M671" s="8"/>
      <c r="N671" s="8"/>
    </row>
    <row r="672" spans="11:14" ht="15.75" customHeight="1" x14ac:dyDescent="0.3">
      <c r="K672" s="8"/>
      <c r="L672" s="8"/>
      <c r="M672" s="8"/>
      <c r="N672" s="8"/>
    </row>
    <row r="673" spans="11:14" ht="15.75" customHeight="1" x14ac:dyDescent="0.3">
      <c r="K673" s="8"/>
      <c r="L673" s="8"/>
      <c r="M673" s="8"/>
      <c r="N673" s="8"/>
    </row>
    <row r="674" spans="11:14" ht="15.75" customHeight="1" x14ac:dyDescent="0.3">
      <c r="K674" s="8"/>
      <c r="L674" s="8"/>
      <c r="M674" s="8"/>
      <c r="N674" s="8"/>
    </row>
    <row r="675" spans="11:14" ht="15.75" customHeight="1" x14ac:dyDescent="0.3">
      <c r="K675" s="8"/>
      <c r="L675" s="8"/>
      <c r="M675" s="8"/>
      <c r="N675" s="8"/>
    </row>
    <row r="676" spans="11:14" ht="15.75" customHeight="1" x14ac:dyDescent="0.3">
      <c r="K676" s="8"/>
      <c r="L676" s="8"/>
      <c r="M676" s="8"/>
      <c r="N676" s="8"/>
    </row>
    <row r="677" spans="11:14" ht="15.75" customHeight="1" x14ac:dyDescent="0.3">
      <c r="K677" s="8"/>
      <c r="L677" s="8"/>
      <c r="M677" s="8"/>
      <c r="N677" s="8"/>
    </row>
    <row r="678" spans="11:14" ht="15.75" customHeight="1" x14ac:dyDescent="0.3">
      <c r="K678" s="8"/>
      <c r="L678" s="8"/>
      <c r="M678" s="8"/>
      <c r="N678" s="8"/>
    </row>
    <row r="679" spans="11:14" ht="15.75" customHeight="1" x14ac:dyDescent="0.3">
      <c r="K679" s="8"/>
      <c r="L679" s="8"/>
      <c r="M679" s="8"/>
      <c r="N679" s="8"/>
    </row>
    <row r="680" spans="11:14" ht="15.75" customHeight="1" x14ac:dyDescent="0.3">
      <c r="K680" s="8"/>
      <c r="L680" s="8"/>
      <c r="M680" s="8"/>
      <c r="N680" s="8"/>
    </row>
    <row r="681" spans="11:14" ht="15.75" customHeight="1" x14ac:dyDescent="0.3">
      <c r="K681" s="8"/>
      <c r="L681" s="8"/>
      <c r="M681" s="8"/>
      <c r="N681" s="8"/>
    </row>
    <row r="682" spans="11:14" ht="15.75" customHeight="1" x14ac:dyDescent="0.3">
      <c r="K682" s="8"/>
      <c r="L682" s="8"/>
      <c r="M682" s="8"/>
      <c r="N682" s="8"/>
    </row>
    <row r="683" spans="11:14" ht="15.75" customHeight="1" x14ac:dyDescent="0.3">
      <c r="K683" s="8"/>
      <c r="L683" s="8"/>
      <c r="M683" s="8"/>
      <c r="N683" s="8"/>
    </row>
    <row r="684" spans="11:14" ht="15.75" customHeight="1" x14ac:dyDescent="0.3">
      <c r="K684" s="8"/>
      <c r="L684" s="8"/>
      <c r="M684" s="8"/>
      <c r="N684" s="8"/>
    </row>
    <row r="685" spans="11:14" ht="15.75" customHeight="1" x14ac:dyDescent="0.3">
      <c r="K685" s="8"/>
      <c r="L685" s="8"/>
      <c r="M685" s="8"/>
      <c r="N685" s="8"/>
    </row>
    <row r="686" spans="11:14" ht="15.75" customHeight="1" x14ac:dyDescent="0.3">
      <c r="K686" s="8"/>
      <c r="L686" s="8"/>
      <c r="M686" s="8"/>
      <c r="N686" s="8"/>
    </row>
    <row r="687" spans="11:14" ht="15.75" customHeight="1" x14ac:dyDescent="0.3">
      <c r="K687" s="8"/>
      <c r="L687" s="8"/>
      <c r="M687" s="8"/>
      <c r="N687" s="8"/>
    </row>
    <row r="688" spans="11:14" ht="15.75" customHeight="1" x14ac:dyDescent="0.3">
      <c r="K688" s="8"/>
      <c r="L688" s="8"/>
      <c r="M688" s="8"/>
      <c r="N688" s="8"/>
    </row>
    <row r="689" spans="11:14" ht="15.75" customHeight="1" x14ac:dyDescent="0.3">
      <c r="K689" s="8"/>
      <c r="L689" s="8"/>
      <c r="M689" s="8"/>
      <c r="N689" s="8"/>
    </row>
    <row r="690" spans="11:14" ht="15.75" customHeight="1" x14ac:dyDescent="0.3">
      <c r="K690" s="8"/>
      <c r="L690" s="8"/>
      <c r="M690" s="8"/>
      <c r="N690" s="8"/>
    </row>
    <row r="691" spans="11:14" ht="15.75" customHeight="1" x14ac:dyDescent="0.3">
      <c r="K691" s="8"/>
      <c r="L691" s="8"/>
      <c r="M691" s="8"/>
      <c r="N691" s="8"/>
    </row>
    <row r="692" spans="11:14" ht="15.75" customHeight="1" x14ac:dyDescent="0.3">
      <c r="K692" s="8"/>
      <c r="L692" s="8"/>
      <c r="M692" s="8"/>
      <c r="N692" s="8"/>
    </row>
    <row r="693" spans="11:14" ht="15.75" customHeight="1" x14ac:dyDescent="0.3">
      <c r="K693" s="8"/>
      <c r="L693" s="8"/>
      <c r="M693" s="8"/>
      <c r="N693" s="8"/>
    </row>
    <row r="694" spans="11:14" ht="15.75" customHeight="1" x14ac:dyDescent="0.3">
      <c r="K694" s="8"/>
      <c r="L694" s="8"/>
      <c r="M694" s="8"/>
      <c r="N694" s="8"/>
    </row>
    <row r="695" spans="11:14" ht="15.75" customHeight="1" x14ac:dyDescent="0.3">
      <c r="K695" s="8"/>
      <c r="L695" s="8"/>
      <c r="M695" s="8"/>
      <c r="N695" s="8"/>
    </row>
    <row r="696" spans="11:14" ht="15.75" customHeight="1" x14ac:dyDescent="0.3">
      <c r="K696" s="8"/>
      <c r="L696" s="8"/>
      <c r="M696" s="8"/>
      <c r="N696" s="8"/>
    </row>
    <row r="697" spans="11:14" ht="15.75" customHeight="1" x14ac:dyDescent="0.3">
      <c r="K697" s="8"/>
      <c r="L697" s="8"/>
      <c r="M697" s="8"/>
      <c r="N697" s="8"/>
    </row>
    <row r="698" spans="11:14" ht="15.75" customHeight="1" x14ac:dyDescent="0.3">
      <c r="K698" s="8"/>
      <c r="L698" s="8"/>
      <c r="M698" s="8"/>
      <c r="N698" s="8"/>
    </row>
    <row r="699" spans="11:14" ht="15.75" customHeight="1" x14ac:dyDescent="0.3">
      <c r="K699" s="8"/>
      <c r="L699" s="8"/>
      <c r="M699" s="8"/>
      <c r="N699" s="8"/>
    </row>
    <row r="700" spans="11:14" ht="15.75" customHeight="1" x14ac:dyDescent="0.3">
      <c r="K700" s="8"/>
      <c r="L700" s="8"/>
      <c r="M700" s="8"/>
      <c r="N700" s="8"/>
    </row>
    <row r="701" spans="11:14" ht="15.75" customHeight="1" x14ac:dyDescent="0.3">
      <c r="K701" s="8"/>
      <c r="L701" s="8"/>
      <c r="M701" s="8"/>
      <c r="N701" s="8"/>
    </row>
    <row r="702" spans="11:14" ht="15.75" customHeight="1" x14ac:dyDescent="0.3">
      <c r="K702" s="8"/>
      <c r="L702" s="8"/>
      <c r="M702" s="8"/>
      <c r="N702" s="8"/>
    </row>
    <row r="703" spans="11:14" ht="15.75" customHeight="1" x14ac:dyDescent="0.3">
      <c r="K703" s="8"/>
      <c r="L703" s="8"/>
      <c r="M703" s="8"/>
      <c r="N703" s="8"/>
    </row>
    <row r="704" spans="11:14" ht="15.75" customHeight="1" x14ac:dyDescent="0.3">
      <c r="K704" s="8"/>
      <c r="L704" s="8"/>
      <c r="M704" s="8"/>
      <c r="N704" s="8"/>
    </row>
    <row r="705" spans="11:14" ht="15.75" customHeight="1" x14ac:dyDescent="0.3">
      <c r="K705" s="8"/>
      <c r="L705" s="8"/>
      <c r="M705" s="8"/>
      <c r="N705" s="8"/>
    </row>
    <row r="706" spans="11:14" ht="15.75" customHeight="1" x14ac:dyDescent="0.3">
      <c r="K706" s="8"/>
      <c r="L706" s="8"/>
      <c r="M706" s="8"/>
      <c r="N706" s="8"/>
    </row>
    <row r="707" spans="11:14" ht="15.75" customHeight="1" x14ac:dyDescent="0.3">
      <c r="K707" s="8"/>
      <c r="L707" s="8"/>
      <c r="M707" s="8"/>
      <c r="N707" s="8"/>
    </row>
    <row r="708" spans="11:14" ht="15.75" customHeight="1" x14ac:dyDescent="0.3">
      <c r="K708" s="8"/>
      <c r="L708" s="8"/>
      <c r="M708" s="8"/>
      <c r="N708" s="8"/>
    </row>
    <row r="709" spans="11:14" ht="15.75" customHeight="1" x14ac:dyDescent="0.3">
      <c r="K709" s="8"/>
      <c r="L709" s="8"/>
      <c r="M709" s="8"/>
      <c r="N709" s="8"/>
    </row>
    <row r="710" spans="11:14" ht="15.75" customHeight="1" x14ac:dyDescent="0.3">
      <c r="K710" s="8"/>
      <c r="L710" s="8"/>
      <c r="M710" s="8"/>
      <c r="N710" s="8"/>
    </row>
    <row r="711" spans="11:14" ht="15.75" customHeight="1" x14ac:dyDescent="0.3">
      <c r="K711" s="8"/>
      <c r="L711" s="8"/>
      <c r="M711" s="8"/>
      <c r="N711" s="8"/>
    </row>
    <row r="712" spans="11:14" ht="15.75" customHeight="1" x14ac:dyDescent="0.3">
      <c r="K712" s="8"/>
      <c r="L712" s="8"/>
      <c r="M712" s="8"/>
      <c r="N712" s="8"/>
    </row>
    <row r="713" spans="11:14" ht="15.75" customHeight="1" x14ac:dyDescent="0.3">
      <c r="K713" s="8"/>
      <c r="L713" s="8"/>
      <c r="M713" s="8"/>
      <c r="N713" s="8"/>
    </row>
    <row r="714" spans="11:14" ht="15.75" customHeight="1" x14ac:dyDescent="0.3">
      <c r="K714" s="8"/>
      <c r="L714" s="8"/>
      <c r="M714" s="8"/>
      <c r="N714" s="8"/>
    </row>
    <row r="715" spans="11:14" ht="15.75" customHeight="1" x14ac:dyDescent="0.3">
      <c r="K715" s="8"/>
      <c r="L715" s="8"/>
      <c r="M715" s="8"/>
      <c r="N715" s="8"/>
    </row>
    <row r="716" spans="11:14" ht="15.75" customHeight="1" x14ac:dyDescent="0.3">
      <c r="K716" s="8"/>
      <c r="L716" s="8"/>
      <c r="M716" s="8"/>
      <c r="N716" s="8"/>
    </row>
    <row r="717" spans="11:14" ht="15.75" customHeight="1" x14ac:dyDescent="0.3">
      <c r="K717" s="8"/>
      <c r="L717" s="8"/>
      <c r="M717" s="8"/>
      <c r="N717" s="8"/>
    </row>
    <row r="718" spans="11:14" ht="15.75" customHeight="1" x14ac:dyDescent="0.3">
      <c r="K718" s="8"/>
      <c r="L718" s="8"/>
      <c r="M718" s="8"/>
      <c r="N718" s="8"/>
    </row>
    <row r="719" spans="11:14" ht="15.75" customHeight="1" x14ac:dyDescent="0.3">
      <c r="K719" s="8"/>
      <c r="L719" s="8"/>
      <c r="M719" s="8"/>
      <c r="N719" s="8"/>
    </row>
    <row r="720" spans="11:14" ht="15.75" customHeight="1" x14ac:dyDescent="0.3">
      <c r="K720" s="8"/>
      <c r="L720" s="8"/>
      <c r="M720" s="8"/>
      <c r="N720" s="8"/>
    </row>
    <row r="721" spans="11:14" ht="15.75" customHeight="1" x14ac:dyDescent="0.3">
      <c r="K721" s="8"/>
      <c r="L721" s="8"/>
      <c r="M721" s="8"/>
      <c r="N721" s="8"/>
    </row>
    <row r="722" spans="11:14" ht="15.75" customHeight="1" x14ac:dyDescent="0.3">
      <c r="K722" s="8"/>
      <c r="L722" s="8"/>
      <c r="M722" s="8"/>
      <c r="N722" s="8"/>
    </row>
    <row r="723" spans="11:14" ht="15.75" customHeight="1" x14ac:dyDescent="0.3">
      <c r="K723" s="8"/>
      <c r="L723" s="8"/>
      <c r="M723" s="8"/>
      <c r="N723" s="8"/>
    </row>
    <row r="724" spans="11:14" ht="15.75" customHeight="1" x14ac:dyDescent="0.3">
      <c r="K724" s="8"/>
      <c r="L724" s="8"/>
      <c r="M724" s="8"/>
      <c r="N724" s="8"/>
    </row>
    <row r="725" spans="11:14" ht="15.75" customHeight="1" x14ac:dyDescent="0.3">
      <c r="K725" s="8"/>
      <c r="L725" s="8"/>
      <c r="M725" s="8"/>
      <c r="N725" s="8"/>
    </row>
    <row r="726" spans="11:14" ht="15.75" customHeight="1" x14ac:dyDescent="0.3">
      <c r="K726" s="8"/>
      <c r="L726" s="8"/>
      <c r="M726" s="8"/>
      <c r="N726" s="8"/>
    </row>
    <row r="727" spans="11:14" ht="15.75" customHeight="1" x14ac:dyDescent="0.3">
      <c r="K727" s="8"/>
      <c r="L727" s="8"/>
      <c r="M727" s="8"/>
      <c r="N727" s="8"/>
    </row>
    <row r="728" spans="11:14" ht="15.75" customHeight="1" x14ac:dyDescent="0.3">
      <c r="K728" s="8"/>
      <c r="L728" s="8"/>
      <c r="M728" s="8"/>
      <c r="N728" s="8"/>
    </row>
    <row r="729" spans="11:14" ht="15.75" customHeight="1" x14ac:dyDescent="0.3">
      <c r="K729" s="8"/>
      <c r="L729" s="8"/>
      <c r="M729" s="8"/>
      <c r="N729" s="8"/>
    </row>
    <row r="730" spans="11:14" ht="15.75" customHeight="1" x14ac:dyDescent="0.3">
      <c r="K730" s="8"/>
      <c r="L730" s="8"/>
      <c r="M730" s="8"/>
      <c r="N730" s="8"/>
    </row>
    <row r="731" spans="11:14" ht="15.75" customHeight="1" x14ac:dyDescent="0.3">
      <c r="K731" s="8"/>
      <c r="L731" s="8"/>
      <c r="M731" s="8"/>
      <c r="N731" s="8"/>
    </row>
    <row r="732" spans="11:14" ht="15.75" customHeight="1" x14ac:dyDescent="0.3">
      <c r="K732" s="8"/>
      <c r="L732" s="8"/>
      <c r="M732" s="8"/>
      <c r="N732" s="8"/>
    </row>
    <row r="733" spans="11:14" ht="15.75" customHeight="1" x14ac:dyDescent="0.3">
      <c r="K733" s="8"/>
      <c r="L733" s="8"/>
      <c r="M733" s="8"/>
      <c r="N733" s="8"/>
    </row>
    <row r="734" spans="11:14" ht="15.75" customHeight="1" x14ac:dyDescent="0.3">
      <c r="K734" s="8"/>
      <c r="L734" s="8"/>
      <c r="M734" s="8"/>
      <c r="N734" s="8"/>
    </row>
    <row r="735" spans="11:14" ht="15.75" customHeight="1" x14ac:dyDescent="0.3">
      <c r="K735" s="8"/>
      <c r="L735" s="8"/>
      <c r="M735" s="8"/>
      <c r="N735" s="8"/>
    </row>
    <row r="736" spans="11:14" ht="15.75" customHeight="1" x14ac:dyDescent="0.3">
      <c r="K736" s="8"/>
      <c r="L736" s="8"/>
      <c r="M736" s="8"/>
      <c r="N736" s="8"/>
    </row>
    <row r="737" spans="11:14" ht="15.75" customHeight="1" x14ac:dyDescent="0.3">
      <c r="K737" s="8"/>
      <c r="L737" s="8"/>
      <c r="M737" s="8"/>
      <c r="N737" s="8"/>
    </row>
    <row r="738" spans="11:14" ht="15.75" customHeight="1" x14ac:dyDescent="0.3">
      <c r="K738" s="8"/>
      <c r="L738" s="8"/>
      <c r="M738" s="8"/>
      <c r="N738" s="8"/>
    </row>
    <row r="739" spans="11:14" ht="15.75" customHeight="1" x14ac:dyDescent="0.3">
      <c r="K739" s="8"/>
      <c r="L739" s="8"/>
      <c r="M739" s="8"/>
      <c r="N739" s="8"/>
    </row>
    <row r="740" spans="11:14" ht="15.75" customHeight="1" x14ac:dyDescent="0.3">
      <c r="K740" s="8"/>
      <c r="L740" s="8"/>
      <c r="M740" s="8"/>
      <c r="N740" s="8"/>
    </row>
    <row r="741" spans="11:14" ht="15.75" customHeight="1" x14ac:dyDescent="0.3">
      <c r="K741" s="8"/>
      <c r="L741" s="8"/>
      <c r="M741" s="8"/>
      <c r="N741" s="8"/>
    </row>
    <row r="742" spans="11:14" ht="15.75" customHeight="1" x14ac:dyDescent="0.3">
      <c r="K742" s="8"/>
      <c r="L742" s="8"/>
      <c r="M742" s="8"/>
      <c r="N742" s="8"/>
    </row>
    <row r="743" spans="11:14" ht="15.75" customHeight="1" x14ac:dyDescent="0.3">
      <c r="K743" s="8"/>
      <c r="L743" s="8"/>
      <c r="M743" s="8"/>
      <c r="N743" s="8"/>
    </row>
    <row r="744" spans="11:14" ht="15.75" customHeight="1" x14ac:dyDescent="0.3">
      <c r="K744" s="8"/>
      <c r="L744" s="8"/>
      <c r="M744" s="8"/>
      <c r="N744" s="8"/>
    </row>
    <row r="745" spans="11:14" ht="15.75" customHeight="1" x14ac:dyDescent="0.3">
      <c r="K745" s="8"/>
      <c r="L745" s="8"/>
      <c r="M745" s="8"/>
      <c r="N745" s="8"/>
    </row>
    <row r="746" spans="11:14" ht="15.75" customHeight="1" x14ac:dyDescent="0.3">
      <c r="K746" s="8"/>
      <c r="L746" s="8"/>
      <c r="M746" s="8"/>
      <c r="N746" s="8"/>
    </row>
    <row r="747" spans="11:14" ht="15.75" customHeight="1" x14ac:dyDescent="0.3">
      <c r="K747" s="8"/>
      <c r="L747" s="8"/>
      <c r="M747" s="8"/>
      <c r="N747" s="8"/>
    </row>
    <row r="748" spans="11:14" ht="15.75" customHeight="1" x14ac:dyDescent="0.3">
      <c r="K748" s="8"/>
      <c r="L748" s="8"/>
      <c r="M748" s="8"/>
      <c r="N748" s="8"/>
    </row>
    <row r="749" spans="11:14" ht="15.75" customHeight="1" x14ac:dyDescent="0.3">
      <c r="K749" s="8"/>
      <c r="L749" s="8"/>
      <c r="M749" s="8"/>
      <c r="N749" s="8"/>
    </row>
    <row r="750" spans="11:14" ht="15.75" customHeight="1" x14ac:dyDescent="0.3">
      <c r="K750" s="8"/>
      <c r="L750" s="8"/>
      <c r="M750" s="8"/>
      <c r="N750" s="8"/>
    </row>
    <row r="751" spans="11:14" ht="15.75" customHeight="1" x14ac:dyDescent="0.3">
      <c r="K751" s="8"/>
      <c r="L751" s="8"/>
      <c r="M751" s="8"/>
      <c r="N751" s="8"/>
    </row>
    <row r="752" spans="11:14" ht="15.75" customHeight="1" x14ac:dyDescent="0.3">
      <c r="K752" s="8"/>
      <c r="L752" s="8"/>
      <c r="M752" s="8"/>
      <c r="N752" s="8"/>
    </row>
    <row r="753" spans="11:14" ht="15.75" customHeight="1" x14ac:dyDescent="0.3">
      <c r="K753" s="8"/>
      <c r="L753" s="8"/>
      <c r="M753" s="8"/>
      <c r="N753" s="8"/>
    </row>
    <row r="754" spans="11:14" ht="15.75" customHeight="1" x14ac:dyDescent="0.3">
      <c r="K754" s="8"/>
      <c r="L754" s="8"/>
      <c r="M754" s="8"/>
      <c r="N754" s="8"/>
    </row>
    <row r="755" spans="11:14" ht="15.75" customHeight="1" x14ac:dyDescent="0.3">
      <c r="K755" s="8"/>
      <c r="L755" s="8"/>
      <c r="M755" s="8"/>
      <c r="N755" s="8"/>
    </row>
    <row r="756" spans="11:14" ht="15.75" customHeight="1" x14ac:dyDescent="0.3">
      <c r="K756" s="8"/>
      <c r="L756" s="8"/>
      <c r="M756" s="8"/>
      <c r="N756" s="8"/>
    </row>
    <row r="757" spans="11:14" ht="15.75" customHeight="1" x14ac:dyDescent="0.3">
      <c r="K757" s="8"/>
      <c r="L757" s="8"/>
      <c r="M757" s="8"/>
      <c r="N757" s="8"/>
    </row>
    <row r="758" spans="11:14" ht="15.75" customHeight="1" x14ac:dyDescent="0.3">
      <c r="K758" s="8"/>
      <c r="L758" s="8"/>
      <c r="M758" s="8"/>
      <c r="N758" s="8"/>
    </row>
    <row r="759" spans="11:14" ht="15.75" customHeight="1" x14ac:dyDescent="0.3">
      <c r="K759" s="8"/>
      <c r="L759" s="8"/>
      <c r="M759" s="8"/>
      <c r="N759" s="8"/>
    </row>
    <row r="760" spans="11:14" ht="15.75" customHeight="1" x14ac:dyDescent="0.3">
      <c r="K760" s="8"/>
      <c r="L760" s="8"/>
      <c r="M760" s="8"/>
      <c r="N760" s="8"/>
    </row>
    <row r="761" spans="11:14" ht="15.75" customHeight="1" x14ac:dyDescent="0.3">
      <c r="K761" s="8"/>
      <c r="L761" s="8"/>
      <c r="M761" s="8"/>
      <c r="N761" s="8"/>
    </row>
    <row r="762" spans="11:14" ht="15.75" customHeight="1" x14ac:dyDescent="0.3">
      <c r="K762" s="8"/>
      <c r="L762" s="8"/>
      <c r="M762" s="8"/>
      <c r="N762" s="8"/>
    </row>
    <row r="763" spans="11:14" ht="15.75" customHeight="1" x14ac:dyDescent="0.3">
      <c r="K763" s="8"/>
      <c r="L763" s="8"/>
      <c r="M763" s="8"/>
      <c r="N763" s="8"/>
    </row>
    <row r="764" spans="11:14" ht="15.75" customHeight="1" x14ac:dyDescent="0.3">
      <c r="K764" s="8"/>
      <c r="L764" s="8"/>
      <c r="M764" s="8"/>
      <c r="N764" s="8"/>
    </row>
    <row r="765" spans="11:14" ht="15.75" customHeight="1" x14ac:dyDescent="0.3">
      <c r="K765" s="8"/>
      <c r="L765" s="8"/>
      <c r="M765" s="8"/>
      <c r="N765" s="8"/>
    </row>
    <row r="766" spans="11:14" ht="15.75" customHeight="1" x14ac:dyDescent="0.3">
      <c r="K766" s="8"/>
      <c r="L766" s="8"/>
      <c r="M766" s="8"/>
      <c r="N766" s="8"/>
    </row>
    <row r="767" spans="11:14" ht="15.75" customHeight="1" x14ac:dyDescent="0.3">
      <c r="K767" s="8"/>
      <c r="L767" s="8"/>
      <c r="M767" s="8"/>
      <c r="N767" s="8"/>
    </row>
    <row r="768" spans="11:14" ht="15.75" customHeight="1" x14ac:dyDescent="0.3">
      <c r="K768" s="8"/>
      <c r="L768" s="8"/>
      <c r="M768" s="8"/>
      <c r="N768" s="8"/>
    </row>
    <row r="769" spans="11:14" ht="15.75" customHeight="1" x14ac:dyDescent="0.3">
      <c r="K769" s="8"/>
      <c r="L769" s="8"/>
      <c r="M769" s="8"/>
      <c r="N769" s="8"/>
    </row>
    <row r="770" spans="11:14" ht="15.75" customHeight="1" x14ac:dyDescent="0.3">
      <c r="K770" s="8"/>
      <c r="L770" s="8"/>
      <c r="M770" s="8"/>
      <c r="N770" s="8"/>
    </row>
    <row r="771" spans="11:14" ht="15.75" customHeight="1" x14ac:dyDescent="0.3">
      <c r="K771" s="8"/>
      <c r="L771" s="8"/>
      <c r="M771" s="8"/>
      <c r="N771" s="8"/>
    </row>
    <row r="772" spans="11:14" ht="15.75" customHeight="1" x14ac:dyDescent="0.3">
      <c r="K772" s="8"/>
      <c r="L772" s="8"/>
      <c r="M772" s="8"/>
      <c r="N772" s="8"/>
    </row>
    <row r="773" spans="11:14" ht="15.75" customHeight="1" x14ac:dyDescent="0.3">
      <c r="K773" s="8"/>
      <c r="L773" s="8"/>
      <c r="M773" s="8"/>
      <c r="N773" s="8"/>
    </row>
    <row r="774" spans="11:14" ht="15.75" customHeight="1" x14ac:dyDescent="0.3">
      <c r="K774" s="8"/>
      <c r="L774" s="8"/>
      <c r="M774" s="8"/>
      <c r="N774" s="8"/>
    </row>
    <row r="775" spans="11:14" ht="15.75" customHeight="1" x14ac:dyDescent="0.3">
      <c r="K775" s="8"/>
      <c r="L775" s="8"/>
      <c r="M775" s="8"/>
      <c r="N775" s="8"/>
    </row>
    <row r="776" spans="11:14" ht="15.75" customHeight="1" x14ac:dyDescent="0.3">
      <c r="K776" s="8"/>
      <c r="L776" s="8"/>
      <c r="M776" s="8"/>
      <c r="N776" s="8"/>
    </row>
    <row r="777" spans="11:14" ht="15.75" customHeight="1" x14ac:dyDescent="0.3">
      <c r="K777" s="8"/>
      <c r="L777" s="8"/>
      <c r="M777" s="8"/>
      <c r="N777" s="8"/>
    </row>
    <row r="778" spans="11:14" ht="15.75" customHeight="1" x14ac:dyDescent="0.3">
      <c r="K778" s="8"/>
      <c r="L778" s="8"/>
      <c r="M778" s="8"/>
      <c r="N778" s="8"/>
    </row>
    <row r="779" spans="11:14" ht="15.75" customHeight="1" x14ac:dyDescent="0.3">
      <c r="K779" s="8"/>
      <c r="L779" s="8"/>
      <c r="M779" s="8"/>
      <c r="N779" s="8"/>
    </row>
    <row r="780" spans="11:14" ht="15.75" customHeight="1" x14ac:dyDescent="0.3">
      <c r="K780" s="8"/>
      <c r="L780" s="8"/>
      <c r="M780" s="8"/>
      <c r="N780" s="8"/>
    </row>
    <row r="781" spans="11:14" ht="15.75" customHeight="1" x14ac:dyDescent="0.3">
      <c r="K781" s="8"/>
      <c r="L781" s="8"/>
      <c r="M781" s="8"/>
      <c r="N781" s="8"/>
    </row>
    <row r="782" spans="11:14" ht="15.75" customHeight="1" x14ac:dyDescent="0.3">
      <c r="K782" s="8"/>
      <c r="L782" s="8"/>
      <c r="M782" s="8"/>
      <c r="N782" s="8"/>
    </row>
    <row r="783" spans="11:14" ht="15.75" customHeight="1" x14ac:dyDescent="0.3">
      <c r="K783" s="8"/>
      <c r="L783" s="8"/>
      <c r="M783" s="8"/>
      <c r="N783" s="8"/>
    </row>
    <row r="784" spans="11:14" ht="15.75" customHeight="1" x14ac:dyDescent="0.3">
      <c r="K784" s="8"/>
      <c r="L784" s="8"/>
      <c r="M784" s="8"/>
      <c r="N784" s="8"/>
    </row>
    <row r="785" spans="11:14" ht="15.75" customHeight="1" x14ac:dyDescent="0.3">
      <c r="K785" s="8"/>
      <c r="L785" s="8"/>
      <c r="M785" s="8"/>
      <c r="N785" s="8"/>
    </row>
    <row r="786" spans="11:14" ht="15.75" customHeight="1" x14ac:dyDescent="0.3">
      <c r="K786" s="8"/>
      <c r="L786" s="8"/>
      <c r="M786" s="8"/>
      <c r="N786" s="8"/>
    </row>
    <row r="787" spans="11:14" ht="15.75" customHeight="1" x14ac:dyDescent="0.3">
      <c r="K787" s="8"/>
      <c r="L787" s="8"/>
      <c r="M787" s="8"/>
      <c r="N787" s="8"/>
    </row>
    <row r="788" spans="11:14" ht="15.75" customHeight="1" x14ac:dyDescent="0.3">
      <c r="K788" s="8"/>
      <c r="L788" s="8"/>
      <c r="M788" s="8"/>
      <c r="N788" s="8"/>
    </row>
    <row r="789" spans="11:14" ht="15.75" customHeight="1" x14ac:dyDescent="0.3">
      <c r="K789" s="8"/>
      <c r="L789" s="8"/>
      <c r="M789" s="8"/>
      <c r="N789" s="8"/>
    </row>
    <row r="790" spans="11:14" ht="15.75" customHeight="1" x14ac:dyDescent="0.3">
      <c r="K790" s="8"/>
      <c r="L790" s="8"/>
      <c r="M790" s="8"/>
      <c r="N790" s="8"/>
    </row>
    <row r="791" spans="11:14" ht="15.75" customHeight="1" x14ac:dyDescent="0.3">
      <c r="K791" s="8"/>
      <c r="L791" s="8"/>
      <c r="M791" s="8"/>
      <c r="N791" s="8"/>
    </row>
    <row r="792" spans="11:14" ht="15.75" customHeight="1" x14ac:dyDescent="0.3">
      <c r="K792" s="8"/>
      <c r="L792" s="8"/>
      <c r="M792" s="8"/>
      <c r="N792" s="8"/>
    </row>
    <row r="793" spans="11:14" ht="15.75" customHeight="1" x14ac:dyDescent="0.3">
      <c r="K793" s="8"/>
      <c r="L793" s="8"/>
      <c r="M793" s="8"/>
      <c r="N793" s="8"/>
    </row>
    <row r="794" spans="11:14" ht="15.75" customHeight="1" x14ac:dyDescent="0.3">
      <c r="K794" s="8"/>
      <c r="L794" s="8"/>
      <c r="M794" s="8"/>
      <c r="N794" s="8"/>
    </row>
    <row r="795" spans="11:14" ht="15.75" customHeight="1" x14ac:dyDescent="0.3">
      <c r="K795" s="8"/>
      <c r="L795" s="8"/>
      <c r="M795" s="8"/>
      <c r="N795" s="8"/>
    </row>
    <row r="796" spans="11:14" ht="15.75" customHeight="1" x14ac:dyDescent="0.3">
      <c r="K796" s="8"/>
      <c r="L796" s="8"/>
      <c r="M796" s="8"/>
      <c r="N796" s="8"/>
    </row>
    <row r="797" spans="11:14" ht="15.75" customHeight="1" x14ac:dyDescent="0.3">
      <c r="K797" s="8"/>
      <c r="L797" s="8"/>
      <c r="M797" s="8"/>
      <c r="N797" s="8"/>
    </row>
    <row r="798" spans="11:14" ht="15.75" customHeight="1" x14ac:dyDescent="0.3">
      <c r="K798" s="8"/>
      <c r="L798" s="8"/>
      <c r="M798" s="8"/>
      <c r="N798" s="8"/>
    </row>
    <row r="799" spans="11:14" ht="15.75" customHeight="1" x14ac:dyDescent="0.3">
      <c r="K799" s="8"/>
      <c r="L799" s="8"/>
      <c r="M799" s="8"/>
      <c r="N799" s="8"/>
    </row>
    <row r="800" spans="11:14" ht="15.75" customHeight="1" x14ac:dyDescent="0.3">
      <c r="K800" s="8"/>
      <c r="L800" s="8"/>
      <c r="M800" s="8"/>
      <c r="N800" s="8"/>
    </row>
    <row r="801" spans="11:14" ht="15.75" customHeight="1" x14ac:dyDescent="0.3">
      <c r="K801" s="8"/>
      <c r="L801" s="8"/>
      <c r="M801" s="8"/>
      <c r="N801" s="8"/>
    </row>
    <row r="802" spans="11:14" ht="15.75" customHeight="1" x14ac:dyDescent="0.3">
      <c r="K802" s="8"/>
      <c r="L802" s="8"/>
      <c r="M802" s="8"/>
      <c r="N802" s="8"/>
    </row>
    <row r="803" spans="11:14" ht="15.75" customHeight="1" x14ac:dyDescent="0.3">
      <c r="K803" s="8"/>
      <c r="L803" s="8"/>
      <c r="M803" s="8"/>
      <c r="N803" s="8"/>
    </row>
    <row r="804" spans="11:14" ht="15.75" customHeight="1" x14ac:dyDescent="0.3">
      <c r="K804" s="8"/>
      <c r="L804" s="8"/>
      <c r="M804" s="8"/>
      <c r="N804" s="8"/>
    </row>
    <row r="805" spans="11:14" ht="15.75" customHeight="1" x14ac:dyDescent="0.3">
      <c r="K805" s="8"/>
      <c r="L805" s="8"/>
      <c r="M805" s="8"/>
      <c r="N805" s="8"/>
    </row>
    <row r="806" spans="11:14" ht="15.75" customHeight="1" x14ac:dyDescent="0.3">
      <c r="K806" s="8"/>
      <c r="L806" s="8"/>
      <c r="M806" s="8"/>
      <c r="N806" s="8"/>
    </row>
    <row r="807" spans="11:14" ht="15.75" customHeight="1" x14ac:dyDescent="0.3">
      <c r="K807" s="8"/>
      <c r="L807" s="8"/>
      <c r="M807" s="8"/>
      <c r="N807" s="8"/>
    </row>
    <row r="808" spans="11:14" ht="15.75" customHeight="1" x14ac:dyDescent="0.3">
      <c r="K808" s="8"/>
      <c r="L808" s="8"/>
      <c r="M808" s="8"/>
      <c r="N808" s="8"/>
    </row>
    <row r="809" spans="11:14" ht="15.75" customHeight="1" x14ac:dyDescent="0.3">
      <c r="K809" s="8"/>
      <c r="L809" s="8"/>
      <c r="M809" s="8"/>
      <c r="N809" s="8"/>
    </row>
    <row r="810" spans="11:14" ht="15.75" customHeight="1" x14ac:dyDescent="0.3">
      <c r="K810" s="8"/>
      <c r="L810" s="8"/>
      <c r="M810" s="8"/>
      <c r="N810" s="8"/>
    </row>
    <row r="811" spans="11:14" ht="15.75" customHeight="1" x14ac:dyDescent="0.3">
      <c r="K811" s="8"/>
      <c r="L811" s="8"/>
      <c r="M811" s="8"/>
      <c r="N811" s="8"/>
    </row>
    <row r="812" spans="11:14" ht="15.75" customHeight="1" x14ac:dyDescent="0.3">
      <c r="K812" s="8"/>
      <c r="L812" s="8"/>
      <c r="M812" s="8"/>
      <c r="N812" s="8"/>
    </row>
    <row r="813" spans="11:14" ht="15.75" customHeight="1" x14ac:dyDescent="0.3">
      <c r="K813" s="8"/>
      <c r="L813" s="8"/>
      <c r="M813" s="8"/>
      <c r="N813" s="8"/>
    </row>
    <row r="814" spans="11:14" ht="15.75" customHeight="1" x14ac:dyDescent="0.3">
      <c r="K814" s="8"/>
      <c r="L814" s="8"/>
      <c r="M814" s="8"/>
      <c r="N814" s="8"/>
    </row>
    <row r="815" spans="11:14" ht="15.75" customHeight="1" x14ac:dyDescent="0.3">
      <c r="K815" s="8"/>
      <c r="L815" s="8"/>
      <c r="M815" s="8"/>
      <c r="N815" s="8"/>
    </row>
    <row r="816" spans="11:14" ht="15.75" customHeight="1" x14ac:dyDescent="0.3">
      <c r="K816" s="8"/>
      <c r="L816" s="8"/>
      <c r="M816" s="8"/>
      <c r="N816" s="8"/>
    </row>
    <row r="817" spans="11:14" ht="15.75" customHeight="1" x14ac:dyDescent="0.3">
      <c r="K817" s="8"/>
      <c r="L817" s="8"/>
      <c r="M817" s="8"/>
      <c r="N817" s="8"/>
    </row>
    <row r="818" spans="11:14" ht="15.75" customHeight="1" x14ac:dyDescent="0.3">
      <c r="K818" s="8"/>
      <c r="L818" s="8"/>
      <c r="M818" s="8"/>
      <c r="N818" s="8"/>
    </row>
    <row r="819" spans="11:14" ht="15.75" customHeight="1" x14ac:dyDescent="0.3">
      <c r="K819" s="8"/>
      <c r="L819" s="8"/>
      <c r="M819" s="8"/>
      <c r="N819" s="8"/>
    </row>
    <row r="820" spans="11:14" ht="15.75" customHeight="1" x14ac:dyDescent="0.3">
      <c r="K820" s="8"/>
      <c r="L820" s="8"/>
      <c r="M820" s="8"/>
      <c r="N820" s="8"/>
    </row>
    <row r="821" spans="11:14" ht="15.75" customHeight="1" x14ac:dyDescent="0.3">
      <c r="K821" s="8"/>
      <c r="L821" s="8"/>
      <c r="M821" s="8"/>
      <c r="N821" s="8"/>
    </row>
    <row r="822" spans="11:14" ht="15.75" customHeight="1" x14ac:dyDescent="0.3">
      <c r="K822" s="8"/>
      <c r="L822" s="8"/>
      <c r="M822" s="8"/>
      <c r="N822" s="8"/>
    </row>
    <row r="823" spans="11:14" ht="15.75" customHeight="1" x14ac:dyDescent="0.3">
      <c r="K823" s="8"/>
      <c r="L823" s="8"/>
      <c r="M823" s="8"/>
      <c r="N823" s="8"/>
    </row>
    <row r="824" spans="11:14" ht="15.75" customHeight="1" x14ac:dyDescent="0.3">
      <c r="K824" s="8"/>
      <c r="L824" s="8"/>
      <c r="M824" s="8"/>
      <c r="N824" s="8"/>
    </row>
    <row r="825" spans="11:14" ht="15.75" customHeight="1" x14ac:dyDescent="0.3">
      <c r="K825" s="8"/>
      <c r="L825" s="8"/>
      <c r="M825" s="8"/>
      <c r="N825" s="8"/>
    </row>
    <row r="826" spans="11:14" ht="15.75" customHeight="1" x14ac:dyDescent="0.3">
      <c r="K826" s="8"/>
      <c r="L826" s="8"/>
      <c r="M826" s="8"/>
      <c r="N826" s="8"/>
    </row>
    <row r="827" spans="11:14" ht="15.75" customHeight="1" x14ac:dyDescent="0.3">
      <c r="K827" s="8"/>
      <c r="L827" s="8"/>
      <c r="M827" s="8"/>
      <c r="N827" s="8"/>
    </row>
    <row r="828" spans="11:14" ht="15.75" customHeight="1" x14ac:dyDescent="0.3">
      <c r="K828" s="8"/>
      <c r="L828" s="8"/>
      <c r="M828" s="8"/>
      <c r="N828" s="8"/>
    </row>
    <row r="829" spans="11:14" ht="15.75" customHeight="1" x14ac:dyDescent="0.3">
      <c r="K829" s="8"/>
      <c r="L829" s="8"/>
      <c r="M829" s="8"/>
      <c r="N829" s="8"/>
    </row>
    <row r="830" spans="11:14" ht="15.75" customHeight="1" x14ac:dyDescent="0.3">
      <c r="K830" s="8"/>
      <c r="L830" s="8"/>
      <c r="M830" s="8"/>
      <c r="N830" s="8"/>
    </row>
    <row r="831" spans="11:14" ht="15.75" customHeight="1" x14ac:dyDescent="0.3">
      <c r="K831" s="8"/>
      <c r="L831" s="8"/>
      <c r="M831" s="8"/>
      <c r="N831" s="8"/>
    </row>
    <row r="832" spans="11:14" ht="15.75" customHeight="1" x14ac:dyDescent="0.3">
      <c r="K832" s="8"/>
      <c r="L832" s="8"/>
      <c r="M832" s="8"/>
      <c r="N832" s="8"/>
    </row>
    <row r="833" spans="11:14" ht="15.75" customHeight="1" x14ac:dyDescent="0.3">
      <c r="K833" s="8"/>
      <c r="L833" s="8"/>
      <c r="M833" s="8"/>
      <c r="N833" s="8"/>
    </row>
    <row r="834" spans="11:14" ht="15.75" customHeight="1" x14ac:dyDescent="0.3">
      <c r="K834" s="8"/>
      <c r="L834" s="8"/>
      <c r="M834" s="8"/>
      <c r="N834" s="8"/>
    </row>
    <row r="835" spans="11:14" ht="15.75" customHeight="1" x14ac:dyDescent="0.3">
      <c r="K835" s="8"/>
      <c r="L835" s="8"/>
      <c r="M835" s="8"/>
      <c r="N835" s="8"/>
    </row>
    <row r="836" spans="11:14" ht="15.75" customHeight="1" x14ac:dyDescent="0.3">
      <c r="K836" s="8"/>
      <c r="L836" s="8"/>
      <c r="M836" s="8"/>
      <c r="N836" s="8"/>
    </row>
    <row r="837" spans="11:14" ht="15.75" customHeight="1" x14ac:dyDescent="0.3">
      <c r="K837" s="8"/>
      <c r="L837" s="8"/>
      <c r="M837" s="8"/>
      <c r="N837" s="8"/>
    </row>
    <row r="838" spans="11:14" ht="15.75" customHeight="1" x14ac:dyDescent="0.3">
      <c r="K838" s="8"/>
      <c r="L838" s="8"/>
      <c r="M838" s="8"/>
      <c r="N838" s="8"/>
    </row>
    <row r="839" spans="11:14" ht="15.75" customHeight="1" x14ac:dyDescent="0.3">
      <c r="K839" s="8"/>
      <c r="L839" s="8"/>
      <c r="M839" s="8"/>
      <c r="N839" s="8"/>
    </row>
    <row r="840" spans="11:14" ht="15.75" customHeight="1" x14ac:dyDescent="0.3">
      <c r="K840" s="8"/>
      <c r="L840" s="8"/>
      <c r="M840" s="8"/>
      <c r="N840" s="8"/>
    </row>
    <row r="841" spans="11:14" ht="15.75" customHeight="1" x14ac:dyDescent="0.3">
      <c r="K841" s="8"/>
      <c r="L841" s="8"/>
      <c r="M841" s="8"/>
      <c r="N841" s="8"/>
    </row>
    <row r="842" spans="11:14" ht="15.75" customHeight="1" x14ac:dyDescent="0.3">
      <c r="K842" s="8"/>
      <c r="L842" s="8"/>
      <c r="M842" s="8"/>
      <c r="N842" s="8"/>
    </row>
    <row r="843" spans="11:14" ht="15.75" customHeight="1" x14ac:dyDescent="0.3">
      <c r="K843" s="8"/>
      <c r="L843" s="8"/>
      <c r="M843" s="8"/>
      <c r="N843" s="8"/>
    </row>
    <row r="844" spans="11:14" ht="15.75" customHeight="1" x14ac:dyDescent="0.3">
      <c r="K844" s="8"/>
      <c r="L844" s="8"/>
      <c r="M844" s="8"/>
      <c r="N844" s="8"/>
    </row>
    <row r="845" spans="11:14" ht="15.75" customHeight="1" x14ac:dyDescent="0.3">
      <c r="K845" s="8"/>
      <c r="L845" s="8"/>
      <c r="M845" s="8"/>
      <c r="N845" s="8"/>
    </row>
    <row r="846" spans="11:14" ht="15.75" customHeight="1" x14ac:dyDescent="0.3">
      <c r="K846" s="8"/>
      <c r="L846" s="8"/>
      <c r="M846" s="8"/>
      <c r="N846" s="8"/>
    </row>
    <row r="847" spans="11:14" ht="15.75" customHeight="1" x14ac:dyDescent="0.3">
      <c r="K847" s="8"/>
      <c r="L847" s="8"/>
      <c r="M847" s="8"/>
      <c r="N847" s="8"/>
    </row>
    <row r="848" spans="11:14" ht="15.75" customHeight="1" x14ac:dyDescent="0.3">
      <c r="K848" s="8"/>
      <c r="L848" s="8"/>
      <c r="M848" s="8"/>
      <c r="N848" s="8"/>
    </row>
    <row r="849" spans="11:14" ht="15.75" customHeight="1" x14ac:dyDescent="0.3">
      <c r="K849" s="8"/>
      <c r="L849" s="8"/>
      <c r="M849" s="8"/>
      <c r="N849" s="8"/>
    </row>
    <row r="850" spans="11:14" ht="15.75" customHeight="1" x14ac:dyDescent="0.3">
      <c r="K850" s="8"/>
      <c r="L850" s="8"/>
      <c r="M850" s="8"/>
      <c r="N850" s="8"/>
    </row>
    <row r="851" spans="11:14" ht="15.75" customHeight="1" x14ac:dyDescent="0.3">
      <c r="K851" s="8"/>
      <c r="L851" s="8"/>
      <c r="M851" s="8"/>
      <c r="N851" s="8"/>
    </row>
    <row r="852" spans="11:14" ht="15.75" customHeight="1" x14ac:dyDescent="0.3">
      <c r="K852" s="8"/>
      <c r="L852" s="8"/>
      <c r="M852" s="8"/>
      <c r="N852" s="8"/>
    </row>
    <row r="853" spans="11:14" ht="15.75" customHeight="1" x14ac:dyDescent="0.3">
      <c r="K853" s="8"/>
      <c r="L853" s="8"/>
      <c r="M853" s="8"/>
      <c r="N853" s="8"/>
    </row>
    <row r="854" spans="11:14" ht="15.75" customHeight="1" x14ac:dyDescent="0.3">
      <c r="K854" s="8"/>
      <c r="L854" s="8"/>
      <c r="M854" s="8"/>
      <c r="N854" s="8"/>
    </row>
    <row r="855" spans="11:14" ht="15.75" customHeight="1" x14ac:dyDescent="0.3">
      <c r="K855" s="8"/>
      <c r="L855" s="8"/>
      <c r="M855" s="8"/>
      <c r="N855" s="8"/>
    </row>
    <row r="856" spans="11:14" ht="15.75" customHeight="1" x14ac:dyDescent="0.3">
      <c r="K856" s="8"/>
      <c r="L856" s="8"/>
      <c r="M856" s="8"/>
      <c r="N856" s="8"/>
    </row>
    <row r="857" spans="11:14" ht="15.75" customHeight="1" x14ac:dyDescent="0.3">
      <c r="K857" s="8"/>
      <c r="L857" s="8"/>
      <c r="M857" s="8"/>
      <c r="N857" s="8"/>
    </row>
    <row r="858" spans="11:14" ht="15.75" customHeight="1" x14ac:dyDescent="0.3">
      <c r="K858" s="8"/>
      <c r="L858" s="8"/>
      <c r="M858" s="8"/>
      <c r="N858" s="8"/>
    </row>
    <row r="859" spans="11:14" ht="15.75" customHeight="1" x14ac:dyDescent="0.3">
      <c r="K859" s="8"/>
      <c r="L859" s="8"/>
      <c r="M859" s="8"/>
      <c r="N859" s="8"/>
    </row>
    <row r="860" spans="11:14" ht="15.75" customHeight="1" x14ac:dyDescent="0.3">
      <c r="K860" s="8"/>
      <c r="L860" s="8"/>
      <c r="M860" s="8"/>
      <c r="N860" s="8"/>
    </row>
    <row r="861" spans="11:14" ht="15.75" customHeight="1" x14ac:dyDescent="0.3">
      <c r="K861" s="8"/>
      <c r="L861" s="8"/>
      <c r="M861" s="8"/>
      <c r="N861" s="8"/>
    </row>
    <row r="862" spans="11:14" ht="15.75" customHeight="1" x14ac:dyDescent="0.3">
      <c r="K862" s="8"/>
      <c r="L862" s="8"/>
      <c r="M862" s="8"/>
      <c r="N862" s="8"/>
    </row>
    <row r="863" spans="11:14" ht="15.75" customHeight="1" x14ac:dyDescent="0.3">
      <c r="K863" s="8"/>
      <c r="L863" s="8"/>
      <c r="M863" s="8"/>
      <c r="N863" s="8"/>
    </row>
    <row r="864" spans="11:14" ht="15.75" customHeight="1" x14ac:dyDescent="0.3">
      <c r="K864" s="8"/>
      <c r="L864" s="8"/>
      <c r="M864" s="8"/>
      <c r="N864" s="8"/>
    </row>
    <row r="865" spans="11:14" ht="15.75" customHeight="1" x14ac:dyDescent="0.3">
      <c r="K865" s="8"/>
      <c r="L865" s="8"/>
      <c r="M865" s="8"/>
      <c r="N865" s="8"/>
    </row>
    <row r="866" spans="11:14" ht="15.75" customHeight="1" x14ac:dyDescent="0.3">
      <c r="K866" s="8"/>
      <c r="L866" s="8"/>
      <c r="M866" s="8"/>
      <c r="N866" s="8"/>
    </row>
    <row r="867" spans="11:14" ht="15.75" customHeight="1" x14ac:dyDescent="0.3">
      <c r="K867" s="8"/>
      <c r="L867" s="8"/>
      <c r="M867" s="8"/>
      <c r="N867" s="8"/>
    </row>
    <row r="868" spans="11:14" ht="15.75" customHeight="1" x14ac:dyDescent="0.3">
      <c r="K868" s="8"/>
      <c r="L868" s="8"/>
      <c r="M868" s="8"/>
      <c r="N868" s="8"/>
    </row>
    <row r="869" spans="11:14" ht="15.75" customHeight="1" x14ac:dyDescent="0.3">
      <c r="K869" s="8"/>
      <c r="L869" s="8"/>
      <c r="M869" s="8"/>
      <c r="N869" s="8"/>
    </row>
    <row r="870" spans="11:14" ht="15.75" customHeight="1" x14ac:dyDescent="0.3">
      <c r="K870" s="8"/>
      <c r="L870" s="8"/>
      <c r="M870" s="8"/>
      <c r="N870" s="8"/>
    </row>
    <row r="871" spans="11:14" ht="15.75" customHeight="1" x14ac:dyDescent="0.3">
      <c r="K871" s="8"/>
      <c r="L871" s="8"/>
      <c r="M871" s="8"/>
      <c r="N871" s="8"/>
    </row>
    <row r="872" spans="11:14" ht="15.75" customHeight="1" x14ac:dyDescent="0.3">
      <c r="K872" s="8"/>
      <c r="L872" s="8"/>
      <c r="M872" s="8"/>
      <c r="N872" s="8"/>
    </row>
    <row r="873" spans="11:14" ht="15.75" customHeight="1" x14ac:dyDescent="0.3">
      <c r="K873" s="8"/>
      <c r="L873" s="8"/>
      <c r="M873" s="8"/>
      <c r="N873" s="8"/>
    </row>
    <row r="874" spans="11:14" ht="15.75" customHeight="1" x14ac:dyDescent="0.3">
      <c r="K874" s="8"/>
      <c r="L874" s="8"/>
      <c r="M874" s="8"/>
      <c r="N874" s="8"/>
    </row>
    <row r="875" spans="11:14" ht="15.75" customHeight="1" x14ac:dyDescent="0.3">
      <c r="K875" s="8"/>
      <c r="L875" s="8"/>
      <c r="M875" s="8"/>
      <c r="N875" s="8"/>
    </row>
    <row r="876" spans="11:14" ht="15.75" customHeight="1" x14ac:dyDescent="0.3">
      <c r="K876" s="8"/>
      <c r="L876" s="8"/>
      <c r="M876" s="8"/>
      <c r="N876" s="8"/>
    </row>
    <row r="877" spans="11:14" ht="15.75" customHeight="1" x14ac:dyDescent="0.3">
      <c r="K877" s="8"/>
      <c r="L877" s="8"/>
      <c r="M877" s="8"/>
      <c r="N877" s="8"/>
    </row>
    <row r="878" spans="11:14" ht="15.75" customHeight="1" x14ac:dyDescent="0.3">
      <c r="K878" s="8"/>
      <c r="L878" s="8"/>
      <c r="M878" s="8"/>
      <c r="N878" s="8"/>
    </row>
    <row r="879" spans="11:14" ht="15.75" customHeight="1" x14ac:dyDescent="0.3">
      <c r="K879" s="8"/>
      <c r="L879" s="8"/>
      <c r="M879" s="8"/>
      <c r="N879" s="8"/>
    </row>
    <row r="880" spans="11:14" ht="15.75" customHeight="1" x14ac:dyDescent="0.3">
      <c r="K880" s="8"/>
      <c r="L880" s="8"/>
      <c r="M880" s="8"/>
      <c r="N880" s="8"/>
    </row>
    <row r="881" spans="11:14" ht="15.75" customHeight="1" x14ac:dyDescent="0.3">
      <c r="K881" s="8"/>
      <c r="L881" s="8"/>
      <c r="M881" s="8"/>
      <c r="N881" s="8"/>
    </row>
    <row r="882" spans="11:14" ht="15.75" customHeight="1" x14ac:dyDescent="0.3">
      <c r="K882" s="8"/>
      <c r="L882" s="8"/>
      <c r="M882" s="8"/>
      <c r="N882" s="8"/>
    </row>
    <row r="883" spans="11:14" ht="15.75" customHeight="1" x14ac:dyDescent="0.3">
      <c r="K883" s="8"/>
      <c r="L883" s="8"/>
      <c r="M883" s="8"/>
      <c r="N883" s="8"/>
    </row>
    <row r="884" spans="11:14" ht="15.75" customHeight="1" x14ac:dyDescent="0.3">
      <c r="K884" s="8"/>
      <c r="L884" s="8"/>
      <c r="M884" s="8"/>
      <c r="N884" s="8"/>
    </row>
    <row r="885" spans="11:14" ht="15.75" customHeight="1" x14ac:dyDescent="0.3">
      <c r="K885" s="8"/>
      <c r="L885" s="8"/>
      <c r="M885" s="8"/>
      <c r="N885" s="8"/>
    </row>
    <row r="886" spans="11:14" ht="15.75" customHeight="1" x14ac:dyDescent="0.3">
      <c r="K886" s="8"/>
      <c r="L886" s="8"/>
      <c r="M886" s="8"/>
      <c r="N886" s="8"/>
    </row>
    <row r="887" spans="11:14" ht="15.75" customHeight="1" x14ac:dyDescent="0.3">
      <c r="K887" s="8"/>
      <c r="L887" s="8"/>
      <c r="M887" s="8"/>
      <c r="N887" s="8"/>
    </row>
    <row r="888" spans="11:14" ht="15.75" customHeight="1" x14ac:dyDescent="0.3">
      <c r="K888" s="8"/>
      <c r="L888" s="8"/>
      <c r="M888" s="8"/>
      <c r="N888" s="8"/>
    </row>
    <row r="889" spans="11:14" ht="15.75" customHeight="1" x14ac:dyDescent="0.3">
      <c r="K889" s="8"/>
      <c r="L889" s="8"/>
      <c r="M889" s="8"/>
      <c r="N889" s="8"/>
    </row>
    <row r="890" spans="11:14" ht="15.75" customHeight="1" x14ac:dyDescent="0.3">
      <c r="K890" s="8"/>
      <c r="L890" s="8"/>
      <c r="M890" s="8"/>
      <c r="N890" s="8"/>
    </row>
    <row r="891" spans="11:14" ht="15.75" customHeight="1" x14ac:dyDescent="0.3">
      <c r="K891" s="8"/>
      <c r="L891" s="8"/>
      <c r="M891" s="8"/>
      <c r="N891" s="8"/>
    </row>
    <row r="892" spans="11:14" ht="15.75" customHeight="1" x14ac:dyDescent="0.3">
      <c r="K892" s="8"/>
      <c r="L892" s="8"/>
      <c r="M892" s="8"/>
      <c r="N892" s="8"/>
    </row>
    <row r="893" spans="11:14" ht="15.75" customHeight="1" x14ac:dyDescent="0.3">
      <c r="K893" s="8"/>
      <c r="L893" s="8"/>
      <c r="M893" s="8"/>
      <c r="N893" s="8"/>
    </row>
    <row r="894" spans="11:14" ht="15.75" customHeight="1" x14ac:dyDescent="0.3">
      <c r="K894" s="8"/>
      <c r="L894" s="8"/>
      <c r="M894" s="8"/>
      <c r="N894" s="8"/>
    </row>
    <row r="895" spans="11:14" ht="15.75" customHeight="1" x14ac:dyDescent="0.3">
      <c r="K895" s="8"/>
      <c r="L895" s="8"/>
      <c r="M895" s="8"/>
      <c r="N895" s="8"/>
    </row>
    <row r="896" spans="11:14" ht="15.75" customHeight="1" x14ac:dyDescent="0.3">
      <c r="K896" s="8"/>
      <c r="L896" s="8"/>
      <c r="M896" s="8"/>
      <c r="N896" s="8"/>
    </row>
    <row r="897" spans="11:14" ht="15.75" customHeight="1" x14ac:dyDescent="0.3">
      <c r="K897" s="8"/>
      <c r="L897" s="8"/>
      <c r="M897" s="8"/>
      <c r="N897" s="8"/>
    </row>
    <row r="898" spans="11:14" ht="15.75" customHeight="1" x14ac:dyDescent="0.3">
      <c r="K898" s="8"/>
      <c r="L898" s="8"/>
      <c r="M898" s="8"/>
      <c r="N898" s="8"/>
    </row>
    <row r="899" spans="11:14" ht="15.75" customHeight="1" x14ac:dyDescent="0.3">
      <c r="K899" s="8"/>
      <c r="L899" s="8"/>
      <c r="M899" s="8"/>
      <c r="N899" s="8"/>
    </row>
    <row r="900" spans="11:14" ht="15.75" customHeight="1" x14ac:dyDescent="0.3">
      <c r="K900" s="8"/>
      <c r="L900" s="8"/>
      <c r="M900" s="8"/>
      <c r="N900" s="8"/>
    </row>
    <row r="901" spans="11:14" ht="15.75" customHeight="1" x14ac:dyDescent="0.3">
      <c r="K901" s="8"/>
      <c r="L901" s="8"/>
      <c r="M901" s="8"/>
      <c r="N901" s="8"/>
    </row>
    <row r="902" spans="11:14" ht="15.75" customHeight="1" x14ac:dyDescent="0.3">
      <c r="K902" s="8"/>
      <c r="L902" s="8"/>
      <c r="M902" s="8"/>
      <c r="N902" s="8"/>
    </row>
    <row r="903" spans="11:14" ht="15.75" customHeight="1" x14ac:dyDescent="0.3">
      <c r="K903" s="8"/>
      <c r="L903" s="8"/>
      <c r="M903" s="8"/>
      <c r="N903" s="8"/>
    </row>
    <row r="904" spans="11:14" ht="15.75" customHeight="1" x14ac:dyDescent="0.3">
      <c r="K904" s="8"/>
      <c r="L904" s="8"/>
      <c r="M904" s="8"/>
      <c r="N904" s="8"/>
    </row>
    <row r="905" spans="11:14" ht="15.75" customHeight="1" x14ac:dyDescent="0.3">
      <c r="K905" s="8"/>
      <c r="L905" s="8"/>
      <c r="M905" s="8"/>
      <c r="N905" s="8"/>
    </row>
    <row r="906" spans="11:14" ht="15.75" customHeight="1" x14ac:dyDescent="0.3">
      <c r="K906" s="8"/>
      <c r="L906" s="8"/>
      <c r="M906" s="8"/>
      <c r="N906" s="8"/>
    </row>
    <row r="907" spans="11:14" ht="15.75" customHeight="1" x14ac:dyDescent="0.3">
      <c r="K907" s="8"/>
      <c r="L907" s="8"/>
      <c r="M907" s="8"/>
      <c r="N907" s="8"/>
    </row>
    <row r="908" spans="11:14" ht="15.75" customHeight="1" x14ac:dyDescent="0.3">
      <c r="K908" s="8"/>
      <c r="L908" s="8"/>
      <c r="M908" s="8"/>
      <c r="N908" s="8"/>
    </row>
    <row r="909" spans="11:14" ht="15.75" customHeight="1" x14ac:dyDescent="0.3">
      <c r="K909" s="8"/>
      <c r="L909" s="8"/>
      <c r="M909" s="8"/>
      <c r="N909" s="8"/>
    </row>
    <row r="910" spans="11:14" ht="15.75" customHeight="1" x14ac:dyDescent="0.3">
      <c r="K910" s="8"/>
      <c r="L910" s="8"/>
      <c r="M910" s="8"/>
      <c r="N910" s="8"/>
    </row>
    <row r="911" spans="11:14" ht="15.75" customHeight="1" x14ac:dyDescent="0.3">
      <c r="K911" s="8"/>
      <c r="L911" s="8"/>
      <c r="M911" s="8"/>
      <c r="N911" s="8"/>
    </row>
    <row r="912" spans="11:14" ht="15.75" customHeight="1" x14ac:dyDescent="0.3">
      <c r="K912" s="8"/>
      <c r="L912" s="8"/>
      <c r="M912" s="8"/>
      <c r="N912" s="8"/>
    </row>
    <row r="913" spans="11:14" ht="15.75" customHeight="1" x14ac:dyDescent="0.3">
      <c r="K913" s="8"/>
      <c r="L913" s="8"/>
      <c r="M913" s="8"/>
      <c r="N913" s="8"/>
    </row>
    <row r="914" spans="11:14" ht="15.75" customHeight="1" x14ac:dyDescent="0.3">
      <c r="K914" s="8"/>
      <c r="L914" s="8"/>
      <c r="M914" s="8"/>
      <c r="N914" s="8"/>
    </row>
    <row r="915" spans="11:14" ht="15.75" customHeight="1" x14ac:dyDescent="0.3">
      <c r="K915" s="8"/>
      <c r="L915" s="8"/>
      <c r="M915" s="8"/>
      <c r="N915" s="8"/>
    </row>
    <row r="916" spans="11:14" ht="15.75" customHeight="1" x14ac:dyDescent="0.3">
      <c r="K916" s="8"/>
      <c r="L916" s="8"/>
      <c r="M916" s="8"/>
      <c r="N916" s="8"/>
    </row>
    <row r="917" spans="11:14" ht="15.75" customHeight="1" x14ac:dyDescent="0.3">
      <c r="K917" s="8"/>
      <c r="L917" s="8"/>
      <c r="M917" s="8"/>
      <c r="N917" s="8"/>
    </row>
    <row r="918" spans="11:14" ht="15.75" customHeight="1" x14ac:dyDescent="0.3">
      <c r="K918" s="8"/>
      <c r="L918" s="8"/>
      <c r="M918" s="8"/>
      <c r="N918" s="8"/>
    </row>
    <row r="919" spans="11:14" ht="15.75" customHeight="1" x14ac:dyDescent="0.3">
      <c r="K919" s="8"/>
      <c r="L919" s="8"/>
      <c r="M919" s="8"/>
      <c r="N919" s="8"/>
    </row>
    <row r="920" spans="11:14" ht="15.75" customHeight="1" x14ac:dyDescent="0.3">
      <c r="K920" s="8"/>
      <c r="L920" s="8"/>
      <c r="M920" s="8"/>
      <c r="N920" s="8"/>
    </row>
    <row r="921" spans="11:14" ht="15.75" customHeight="1" x14ac:dyDescent="0.3">
      <c r="K921" s="8"/>
      <c r="L921" s="8"/>
      <c r="M921" s="8"/>
      <c r="N921" s="8"/>
    </row>
    <row r="922" spans="11:14" ht="15.75" customHeight="1" x14ac:dyDescent="0.3">
      <c r="K922" s="8"/>
      <c r="L922" s="8"/>
      <c r="M922" s="8"/>
      <c r="N922" s="8"/>
    </row>
    <row r="923" spans="11:14" ht="15.75" customHeight="1" x14ac:dyDescent="0.3">
      <c r="K923" s="8"/>
      <c r="L923" s="8"/>
      <c r="M923" s="8"/>
      <c r="N923" s="8"/>
    </row>
    <row r="924" spans="11:14" ht="15.75" customHeight="1" x14ac:dyDescent="0.3">
      <c r="K924" s="8"/>
      <c r="L924" s="8"/>
      <c r="M924" s="8"/>
      <c r="N924" s="8"/>
    </row>
    <row r="925" spans="11:14" ht="15.75" customHeight="1" x14ac:dyDescent="0.3">
      <c r="K925" s="8"/>
      <c r="L925" s="8"/>
      <c r="M925" s="8"/>
      <c r="N925" s="8"/>
    </row>
    <row r="926" spans="11:14" ht="15.75" customHeight="1" x14ac:dyDescent="0.3">
      <c r="K926" s="8"/>
      <c r="L926" s="8"/>
      <c r="M926" s="8"/>
      <c r="N926" s="8"/>
    </row>
    <row r="927" spans="11:14" ht="15.75" customHeight="1" x14ac:dyDescent="0.3">
      <c r="K927" s="8"/>
      <c r="L927" s="8"/>
      <c r="M927" s="8"/>
      <c r="N927" s="8"/>
    </row>
    <row r="928" spans="11:14" ht="15.75" customHeight="1" x14ac:dyDescent="0.3">
      <c r="K928" s="8"/>
      <c r="L928" s="8"/>
      <c r="M928" s="8"/>
      <c r="N928" s="8"/>
    </row>
    <row r="929" spans="11:14" ht="15.75" customHeight="1" x14ac:dyDescent="0.3">
      <c r="K929" s="8"/>
      <c r="L929" s="8"/>
      <c r="M929" s="8"/>
      <c r="N929" s="8"/>
    </row>
    <row r="930" spans="11:14" ht="15.75" customHeight="1" x14ac:dyDescent="0.3">
      <c r="K930" s="8"/>
      <c r="L930" s="8"/>
      <c r="M930" s="8"/>
      <c r="N930" s="8"/>
    </row>
    <row r="931" spans="11:14" ht="15.75" customHeight="1" x14ac:dyDescent="0.3">
      <c r="K931" s="8"/>
      <c r="L931" s="8"/>
      <c r="M931" s="8"/>
      <c r="N931" s="8"/>
    </row>
    <row r="932" spans="11:14" ht="15.75" customHeight="1" x14ac:dyDescent="0.3">
      <c r="K932" s="8"/>
      <c r="L932" s="8"/>
      <c r="M932" s="8"/>
      <c r="N932" s="8"/>
    </row>
    <row r="933" spans="11:14" ht="15.75" customHeight="1" x14ac:dyDescent="0.3">
      <c r="K933" s="8"/>
      <c r="L933" s="8"/>
      <c r="M933" s="8"/>
      <c r="N933" s="8"/>
    </row>
    <row r="934" spans="11:14" ht="15.75" customHeight="1" x14ac:dyDescent="0.3">
      <c r="K934" s="8"/>
      <c r="L934" s="8"/>
      <c r="M934" s="8"/>
      <c r="N934" s="8"/>
    </row>
    <row r="935" spans="11:14" ht="15.75" customHeight="1" x14ac:dyDescent="0.3">
      <c r="K935" s="8"/>
      <c r="L935" s="8"/>
      <c r="M935" s="8"/>
      <c r="N935" s="8"/>
    </row>
    <row r="936" spans="11:14" ht="15.75" customHeight="1" x14ac:dyDescent="0.3">
      <c r="K936" s="8"/>
      <c r="L936" s="8"/>
      <c r="M936" s="8"/>
      <c r="N936" s="8"/>
    </row>
    <row r="937" spans="11:14" ht="15.75" customHeight="1" x14ac:dyDescent="0.3">
      <c r="K937" s="8"/>
      <c r="L937" s="8"/>
      <c r="M937" s="8"/>
      <c r="N937" s="8"/>
    </row>
    <row r="938" spans="11:14" ht="15.75" customHeight="1" x14ac:dyDescent="0.3">
      <c r="K938" s="8"/>
      <c r="L938" s="8"/>
      <c r="M938" s="8"/>
      <c r="N938" s="8"/>
    </row>
    <row r="939" spans="11:14" ht="15.75" customHeight="1" x14ac:dyDescent="0.3">
      <c r="K939" s="8"/>
      <c r="L939" s="8"/>
      <c r="M939" s="8"/>
      <c r="N939" s="8"/>
    </row>
    <row r="940" spans="11:14" ht="15.75" customHeight="1" x14ac:dyDescent="0.3">
      <c r="K940" s="8"/>
      <c r="L940" s="8"/>
      <c r="M940" s="8"/>
      <c r="N940" s="8"/>
    </row>
    <row r="941" spans="11:14" ht="15.75" customHeight="1" x14ac:dyDescent="0.3">
      <c r="K941" s="8"/>
      <c r="L941" s="8"/>
      <c r="M941" s="8"/>
      <c r="N941" s="8"/>
    </row>
    <row r="942" spans="11:14" ht="15.75" customHeight="1" x14ac:dyDescent="0.3">
      <c r="K942" s="8"/>
      <c r="L942" s="8"/>
      <c r="M942" s="8"/>
      <c r="N942" s="8"/>
    </row>
    <row r="943" spans="11:14" ht="15.75" customHeight="1" x14ac:dyDescent="0.3">
      <c r="K943" s="8"/>
      <c r="L943" s="8"/>
      <c r="M943" s="8"/>
      <c r="N943" s="8"/>
    </row>
    <row r="944" spans="11:14" ht="15.75" customHeight="1" x14ac:dyDescent="0.3">
      <c r="K944" s="8"/>
      <c r="L944" s="8"/>
      <c r="M944" s="8"/>
      <c r="N944" s="8"/>
    </row>
    <row r="945" spans="11:14" ht="15.75" customHeight="1" x14ac:dyDescent="0.3">
      <c r="K945" s="8"/>
      <c r="L945" s="8"/>
      <c r="M945" s="8"/>
      <c r="N945" s="8"/>
    </row>
    <row r="946" spans="11:14" ht="15.75" customHeight="1" x14ac:dyDescent="0.3">
      <c r="K946" s="8"/>
      <c r="L946" s="8"/>
      <c r="M946" s="8"/>
      <c r="N946" s="8"/>
    </row>
    <row r="947" spans="11:14" ht="15.75" customHeight="1" x14ac:dyDescent="0.3">
      <c r="K947" s="8"/>
      <c r="L947" s="8"/>
      <c r="M947" s="8"/>
      <c r="N947" s="8"/>
    </row>
    <row r="948" spans="11:14" ht="15.75" customHeight="1" x14ac:dyDescent="0.3">
      <c r="K948" s="8"/>
      <c r="L948" s="8"/>
      <c r="M948" s="8"/>
      <c r="N948" s="8"/>
    </row>
    <row r="949" spans="11:14" ht="15.75" customHeight="1" x14ac:dyDescent="0.3">
      <c r="K949" s="8"/>
      <c r="L949" s="8"/>
      <c r="M949" s="8"/>
      <c r="N949" s="8"/>
    </row>
    <row r="950" spans="11:14" ht="15.75" customHeight="1" x14ac:dyDescent="0.3">
      <c r="K950" s="8"/>
      <c r="L950" s="8"/>
      <c r="M950" s="8"/>
      <c r="N950" s="8"/>
    </row>
    <row r="951" spans="11:14" ht="15.75" customHeight="1" x14ac:dyDescent="0.3">
      <c r="K951" s="8"/>
      <c r="L951" s="8"/>
      <c r="M951" s="8"/>
      <c r="N951" s="8"/>
    </row>
    <row r="952" spans="11:14" ht="15.75" customHeight="1" x14ac:dyDescent="0.3">
      <c r="K952" s="8"/>
      <c r="L952" s="8"/>
      <c r="M952" s="8"/>
      <c r="N952" s="8"/>
    </row>
    <row r="953" spans="11:14" ht="15.75" customHeight="1" x14ac:dyDescent="0.3">
      <c r="K953" s="8"/>
      <c r="L953" s="8"/>
      <c r="M953" s="8"/>
      <c r="N953" s="8"/>
    </row>
    <row r="954" spans="11:14" ht="15.75" customHeight="1" x14ac:dyDescent="0.3">
      <c r="K954" s="8"/>
      <c r="L954" s="8"/>
      <c r="M954" s="8"/>
      <c r="N954" s="8"/>
    </row>
    <row r="955" spans="11:14" ht="15.75" customHeight="1" x14ac:dyDescent="0.3">
      <c r="K955" s="8"/>
      <c r="L955" s="8"/>
      <c r="M955" s="8"/>
      <c r="N955" s="8"/>
    </row>
    <row r="956" spans="11:14" ht="15.75" customHeight="1" x14ac:dyDescent="0.3">
      <c r="K956" s="8"/>
      <c r="L956" s="8"/>
      <c r="M956" s="8"/>
      <c r="N956" s="8"/>
    </row>
    <row r="957" spans="11:14" ht="15.75" customHeight="1" x14ac:dyDescent="0.3">
      <c r="K957" s="8"/>
      <c r="L957" s="8"/>
      <c r="M957" s="8"/>
      <c r="N957" s="8"/>
    </row>
    <row r="958" spans="11:14" ht="15.75" customHeight="1" x14ac:dyDescent="0.3">
      <c r="K958" s="8"/>
      <c r="L958" s="8"/>
      <c r="M958" s="8"/>
      <c r="N958" s="8"/>
    </row>
    <row r="959" spans="11:14" ht="15.75" customHeight="1" x14ac:dyDescent="0.3">
      <c r="K959" s="8"/>
      <c r="L959" s="8"/>
      <c r="M959" s="8"/>
      <c r="N959" s="8"/>
    </row>
    <row r="960" spans="11:14" ht="15.75" customHeight="1" x14ac:dyDescent="0.3">
      <c r="K960" s="8"/>
      <c r="L960" s="8"/>
      <c r="M960" s="8"/>
      <c r="N960" s="8"/>
    </row>
    <row r="961" spans="11:14" ht="15.75" customHeight="1" x14ac:dyDescent="0.3">
      <c r="K961" s="8"/>
      <c r="L961" s="8"/>
      <c r="M961" s="8"/>
      <c r="N961" s="8"/>
    </row>
    <row r="962" spans="11:14" ht="15.75" customHeight="1" x14ac:dyDescent="0.3">
      <c r="K962" s="8"/>
      <c r="L962" s="8"/>
      <c r="M962" s="8"/>
      <c r="N962" s="8"/>
    </row>
    <row r="963" spans="11:14" ht="15.75" customHeight="1" x14ac:dyDescent="0.3">
      <c r="K963" s="8"/>
      <c r="L963" s="8"/>
      <c r="M963" s="8"/>
      <c r="N963" s="8"/>
    </row>
    <row r="964" spans="11:14" ht="15.75" customHeight="1" x14ac:dyDescent="0.3">
      <c r="K964" s="8"/>
      <c r="L964" s="8"/>
      <c r="M964" s="8"/>
      <c r="N964" s="8"/>
    </row>
    <row r="965" spans="11:14" ht="15.75" customHeight="1" x14ac:dyDescent="0.3">
      <c r="K965" s="8"/>
      <c r="L965" s="8"/>
      <c r="M965" s="8"/>
      <c r="N965" s="8"/>
    </row>
    <row r="966" spans="11:14" ht="15.75" customHeight="1" x14ac:dyDescent="0.3">
      <c r="K966" s="8"/>
      <c r="L966" s="8"/>
      <c r="M966" s="8"/>
      <c r="N966" s="8"/>
    </row>
    <row r="967" spans="11:14" ht="15.75" customHeight="1" x14ac:dyDescent="0.3">
      <c r="K967" s="8"/>
      <c r="L967" s="8"/>
      <c r="M967" s="8"/>
      <c r="N967" s="8"/>
    </row>
    <row r="968" spans="11:14" ht="15.75" customHeight="1" x14ac:dyDescent="0.3">
      <c r="K968" s="8"/>
      <c r="L968" s="8"/>
      <c r="M968" s="8"/>
      <c r="N968" s="8"/>
    </row>
    <row r="969" spans="11:14" ht="15.75" customHeight="1" x14ac:dyDescent="0.3">
      <c r="K969" s="8"/>
      <c r="L969" s="8"/>
      <c r="M969" s="8"/>
      <c r="N969" s="8"/>
    </row>
    <row r="970" spans="11:14" ht="15.75" customHeight="1" x14ac:dyDescent="0.3">
      <c r="K970" s="8"/>
      <c r="L970" s="8"/>
      <c r="M970" s="8"/>
      <c r="N970" s="8"/>
    </row>
    <row r="971" spans="11:14" ht="15.75" customHeight="1" x14ac:dyDescent="0.3">
      <c r="K971" s="8"/>
      <c r="L971" s="8"/>
      <c r="M971" s="8"/>
      <c r="N971" s="8"/>
    </row>
    <row r="972" spans="11:14" ht="15.75" customHeight="1" x14ac:dyDescent="0.3">
      <c r="K972" s="8"/>
      <c r="L972" s="8"/>
      <c r="M972" s="8"/>
      <c r="N972" s="8"/>
    </row>
    <row r="973" spans="11:14" ht="15.75" customHeight="1" x14ac:dyDescent="0.3">
      <c r="K973" s="8"/>
      <c r="L973" s="8"/>
      <c r="M973" s="8"/>
      <c r="N973" s="8"/>
    </row>
    <row r="974" spans="11:14" ht="15.75" customHeight="1" x14ac:dyDescent="0.3">
      <c r="K974" s="8"/>
      <c r="L974" s="8"/>
      <c r="M974" s="8"/>
      <c r="N974" s="8"/>
    </row>
    <row r="975" spans="11:14" ht="15.75" customHeight="1" x14ac:dyDescent="0.3">
      <c r="K975" s="8"/>
      <c r="L975" s="8"/>
      <c r="M975" s="8"/>
      <c r="N975" s="8"/>
    </row>
    <row r="976" spans="11:14" ht="15.75" customHeight="1" x14ac:dyDescent="0.3">
      <c r="K976" s="8"/>
      <c r="L976" s="8"/>
      <c r="M976" s="8"/>
      <c r="N976" s="8"/>
    </row>
    <row r="977" spans="11:14" ht="15.75" customHeight="1" x14ac:dyDescent="0.3">
      <c r="K977" s="8"/>
      <c r="L977" s="8"/>
      <c r="M977" s="8"/>
      <c r="N977" s="8"/>
    </row>
    <row r="978" spans="11:14" ht="15.75" customHeight="1" x14ac:dyDescent="0.3">
      <c r="K978" s="8"/>
      <c r="L978" s="8"/>
      <c r="M978" s="8"/>
      <c r="N978" s="8"/>
    </row>
    <row r="979" spans="11:14" ht="15.75" customHeight="1" x14ac:dyDescent="0.3">
      <c r="K979" s="8"/>
      <c r="L979" s="8"/>
      <c r="M979" s="8"/>
      <c r="N979" s="8"/>
    </row>
    <row r="980" spans="11:14" ht="15.75" customHeight="1" x14ac:dyDescent="0.3">
      <c r="K980" s="8"/>
      <c r="L980" s="8"/>
      <c r="M980" s="8"/>
      <c r="N980" s="8"/>
    </row>
    <row r="981" spans="11:14" ht="15.75" customHeight="1" x14ac:dyDescent="0.3">
      <c r="K981" s="8"/>
      <c r="L981" s="8"/>
      <c r="M981" s="8"/>
      <c r="N981" s="8"/>
    </row>
    <row r="982" spans="11:14" ht="15.75" customHeight="1" x14ac:dyDescent="0.3">
      <c r="K982" s="8"/>
      <c r="L982" s="8"/>
      <c r="M982" s="8"/>
      <c r="N982" s="8"/>
    </row>
    <row r="983" spans="11:14" ht="15.75" customHeight="1" x14ac:dyDescent="0.3">
      <c r="K983" s="8"/>
      <c r="L983" s="8"/>
      <c r="M983" s="8"/>
      <c r="N983" s="8"/>
    </row>
    <row r="984" spans="11:14" ht="15.75" customHeight="1" x14ac:dyDescent="0.3">
      <c r="K984" s="8"/>
      <c r="L984" s="8"/>
      <c r="M984" s="8"/>
      <c r="N984" s="8"/>
    </row>
    <row r="985" spans="11:14" ht="15.75" customHeight="1" x14ac:dyDescent="0.3">
      <c r="K985" s="8"/>
      <c r="L985" s="8"/>
      <c r="M985" s="8"/>
      <c r="N985" s="8"/>
    </row>
    <row r="986" spans="11:14" ht="15.75" customHeight="1" x14ac:dyDescent="0.3">
      <c r="K986" s="8"/>
      <c r="L986" s="8"/>
      <c r="M986" s="8"/>
      <c r="N986" s="8"/>
    </row>
    <row r="987" spans="11:14" ht="15.75" customHeight="1" x14ac:dyDescent="0.3">
      <c r="K987" s="8"/>
      <c r="L987" s="8"/>
      <c r="M987" s="8"/>
      <c r="N987" s="8"/>
    </row>
    <row r="988" spans="11:14" ht="15.75" customHeight="1" x14ac:dyDescent="0.3">
      <c r="K988" s="8"/>
      <c r="L988" s="8"/>
      <c r="M988" s="8"/>
      <c r="N988" s="8"/>
    </row>
    <row r="989" spans="11:14" ht="15.75" customHeight="1" x14ac:dyDescent="0.3">
      <c r="K989" s="8"/>
      <c r="L989" s="8"/>
      <c r="M989" s="8"/>
      <c r="N989" s="8"/>
    </row>
    <row r="990" spans="11:14" ht="15.75" customHeight="1" x14ac:dyDescent="0.3">
      <c r="K990" s="8"/>
      <c r="L990" s="8"/>
      <c r="M990" s="8"/>
      <c r="N990" s="8"/>
    </row>
    <row r="991" spans="11:14" ht="15.75" customHeight="1" x14ac:dyDescent="0.3">
      <c r="K991" s="8"/>
      <c r="L991" s="8"/>
      <c r="M991" s="8"/>
      <c r="N991" s="8"/>
    </row>
    <row r="992" spans="11:14" ht="15.75" customHeight="1" x14ac:dyDescent="0.3">
      <c r="K992" s="8"/>
      <c r="L992" s="8"/>
      <c r="M992" s="8"/>
      <c r="N992" s="8"/>
    </row>
    <row r="993" spans="11:14" ht="15.75" customHeight="1" x14ac:dyDescent="0.3">
      <c r="K993" s="8"/>
      <c r="L993" s="8"/>
      <c r="M993" s="8"/>
      <c r="N993" s="8"/>
    </row>
    <row r="994" spans="11:14" ht="15.75" customHeight="1" x14ac:dyDescent="0.3">
      <c r="K994" s="8"/>
      <c r="L994" s="8"/>
      <c r="M994" s="8"/>
      <c r="N994" s="8"/>
    </row>
    <row r="995" spans="11:14" ht="15.75" customHeight="1" x14ac:dyDescent="0.3">
      <c r="K995" s="8"/>
      <c r="L995" s="8"/>
      <c r="M995" s="8"/>
      <c r="N995" s="8"/>
    </row>
    <row r="996" spans="11:14" ht="15.75" customHeight="1" x14ac:dyDescent="0.3">
      <c r="K996" s="8"/>
      <c r="L996" s="8"/>
      <c r="M996" s="8"/>
      <c r="N996" s="8"/>
    </row>
    <row r="997" spans="11:14" ht="15.75" customHeight="1" x14ac:dyDescent="0.3">
      <c r="K997" s="8"/>
      <c r="L997" s="8"/>
      <c r="M997" s="8"/>
      <c r="N997" s="8"/>
    </row>
    <row r="998" spans="11:14" ht="15.75" customHeight="1" x14ac:dyDescent="0.3">
      <c r="K998" s="8"/>
      <c r="L998" s="8"/>
      <c r="M998" s="8"/>
      <c r="N998" s="8"/>
    </row>
    <row r="999" spans="11:14" ht="15.75" customHeight="1" x14ac:dyDescent="0.3">
      <c r="K999" s="8"/>
      <c r="L999" s="8"/>
      <c r="M999" s="8"/>
      <c r="N999" s="8"/>
    </row>
    <row r="1000" spans="11:14" ht="15.75" customHeight="1" x14ac:dyDescent="0.3">
      <c r="K1000" s="8"/>
      <c r="L1000" s="8"/>
      <c r="M1000" s="8"/>
      <c r="N1000" s="8"/>
    </row>
    <row r="1001" spans="11:14" ht="15.75" customHeight="1" x14ac:dyDescent="0.3">
      <c r="K1001" s="8"/>
      <c r="L1001" s="8"/>
      <c r="M1001" s="8"/>
      <c r="N1001" s="8"/>
    </row>
  </sheetData>
  <pageMargins left="0.7" right="0.7" top="0.75" bottom="0.75" header="0" footer="0"/>
  <pageSetup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71A2B1-4D54-F241-9AC1-092E20C49366}">
  <dimension ref="A1:S1000"/>
  <sheetViews>
    <sheetView showGridLines="0" zoomScale="86" zoomScaleNormal="105" workbookViewId="0">
      <pane xSplit="3" ySplit="5" topLeftCell="F7" activePane="bottomRight" state="frozen"/>
      <selection pane="topRight" activeCell="D1" sqref="D1"/>
      <selection pane="bottomLeft" activeCell="A6" sqref="A6"/>
      <selection pane="bottomRight" activeCell="K7" sqref="K7"/>
    </sheetView>
  </sheetViews>
  <sheetFormatPr defaultColWidth="14.5" defaultRowHeight="15" customHeight="1" x14ac:dyDescent="0.3"/>
  <cols>
    <col min="1" max="1" width="48.796875" style="4" customWidth="1"/>
    <col min="2" max="2" width="1.296875" style="4" customWidth="1"/>
    <col min="3" max="3" width="1.19921875" style="4" customWidth="1"/>
    <col min="4" max="4" width="9.19921875" style="4" hidden="1" customWidth="1"/>
    <col min="5" max="5" width="9.296875" style="4" hidden="1" customWidth="1"/>
    <col min="6" max="6" width="9.19921875" style="4" customWidth="1"/>
    <col min="7" max="7" width="9.5" style="4" customWidth="1"/>
    <col min="8" max="10" width="9.19921875" style="4" customWidth="1"/>
    <col min="11" max="14" width="10.69921875" style="4" customWidth="1"/>
    <col min="15" max="26" width="8.69921875" style="4" customWidth="1"/>
    <col min="27" max="16384" width="14.5" style="4"/>
  </cols>
  <sheetData>
    <row r="1" spans="1:19" ht="58.5" customHeight="1" x14ac:dyDescent="0.45">
      <c r="A1" s="1" t="s">
        <v>1</v>
      </c>
      <c r="B1" s="2"/>
      <c r="C1" s="2"/>
      <c r="D1" s="3" t="str">
        <f>[1]Basics!B1</f>
        <v>Day 2</v>
      </c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31" t="s">
        <v>184</v>
      </c>
      <c r="Q1" s="2"/>
      <c r="R1" s="2"/>
      <c r="S1" s="2"/>
    </row>
    <row r="2" spans="1:19" ht="14.4" x14ac:dyDescent="0.3">
      <c r="A2" s="4" t="s">
        <v>2</v>
      </c>
    </row>
    <row r="3" spans="1:19" ht="14.4" x14ac:dyDescent="0.3">
      <c r="A3" s="4" t="s">
        <v>3</v>
      </c>
    </row>
    <row r="4" spans="1:19" ht="14.4" x14ac:dyDescent="0.3">
      <c r="A4" s="5" t="s">
        <v>4</v>
      </c>
      <c r="D4" s="5" t="s">
        <v>5</v>
      </c>
      <c r="E4" s="5" t="s">
        <v>6</v>
      </c>
      <c r="F4" s="5" t="s">
        <v>7</v>
      </c>
      <c r="G4" s="5" t="s">
        <v>8</v>
      </c>
      <c r="H4" s="5" t="s">
        <v>9</v>
      </c>
      <c r="I4" s="5" t="s">
        <v>10</v>
      </c>
      <c r="J4" s="5" t="s">
        <v>11</v>
      </c>
      <c r="K4" s="7">
        <f t="shared" ref="K4:N4" si="0">EDATE(J4,12)</f>
        <v>45382</v>
      </c>
      <c r="L4" s="7">
        <f t="shared" si="0"/>
        <v>45747</v>
      </c>
      <c r="M4" s="7">
        <f t="shared" si="0"/>
        <v>46112</v>
      </c>
      <c r="N4" s="7">
        <f t="shared" si="0"/>
        <v>46477</v>
      </c>
    </row>
    <row r="5" spans="1:19" ht="14.4" x14ac:dyDescent="0.3">
      <c r="A5" s="5" t="s">
        <v>12</v>
      </c>
      <c r="D5" s="5" t="s">
        <v>13</v>
      </c>
      <c r="E5" s="5" t="s">
        <v>14</v>
      </c>
      <c r="F5" s="5" t="s">
        <v>15</v>
      </c>
      <c r="G5" s="5" t="s">
        <v>16</v>
      </c>
      <c r="H5" s="5" t="s">
        <v>17</v>
      </c>
      <c r="I5" s="5" t="s">
        <v>18</v>
      </c>
      <c r="J5" s="5" t="s">
        <v>19</v>
      </c>
      <c r="K5" s="6" t="s">
        <v>20</v>
      </c>
      <c r="L5" s="6" t="s">
        <v>21</v>
      </c>
      <c r="M5" s="6" t="s">
        <v>22</v>
      </c>
      <c r="N5" s="6" t="s">
        <v>23</v>
      </c>
    </row>
    <row r="6" spans="1:19" ht="14.4" x14ac:dyDescent="0.3">
      <c r="K6" s="8"/>
      <c r="L6" s="8"/>
      <c r="M6" s="8"/>
      <c r="N6" s="8"/>
    </row>
    <row r="7" spans="1:19" ht="15.6" x14ac:dyDescent="0.3">
      <c r="A7" t="s">
        <v>177</v>
      </c>
      <c r="F7" s="29">
        <f>IS!F7</f>
        <v>19778.52</v>
      </c>
      <c r="G7" s="29">
        <f>IS!G7</f>
        <v>21051.54</v>
      </c>
      <c r="H7" s="29">
        <f>IS!H7</f>
        <v>21644</v>
      </c>
      <c r="I7" s="29">
        <f>IS!I7</f>
        <v>28799</v>
      </c>
      <c r="J7" s="29">
        <f>IS!J7</f>
        <v>40575</v>
      </c>
      <c r="K7" s="38">
        <f ca="1">K93</f>
        <v>53142.15848588325</v>
      </c>
      <c r="L7" s="38">
        <f ca="1">L93</f>
        <v>68752.181627029946</v>
      </c>
      <c r="M7" s="38">
        <f ca="1">M93</f>
        <v>88082.979231111633</v>
      </c>
      <c r="N7" s="38">
        <f ca="1">N93</f>
        <v>111960.3700410124</v>
      </c>
    </row>
    <row r="8" spans="1:19" ht="14.4" x14ac:dyDescent="0.3">
      <c r="K8" s="8"/>
      <c r="L8" s="8"/>
      <c r="M8" s="8"/>
      <c r="N8" s="8"/>
    </row>
    <row r="9" spans="1:19" ht="14.4" x14ac:dyDescent="0.3">
      <c r="K9" s="8"/>
      <c r="L9" s="8"/>
      <c r="M9" s="8"/>
      <c r="N9" s="8"/>
    </row>
    <row r="10" spans="1:19" ht="14.4" x14ac:dyDescent="0.3">
      <c r="A10" s="9" t="s">
        <v>178</v>
      </c>
      <c r="K10" s="8"/>
      <c r="L10" s="8"/>
      <c r="M10" s="8"/>
      <c r="N10" s="8"/>
    </row>
    <row r="11" spans="1:19" ht="15.6" x14ac:dyDescent="0.3">
      <c r="A11" t="s">
        <v>179</v>
      </c>
      <c r="F11" s="30">
        <v>0.89</v>
      </c>
      <c r="G11" s="30">
        <f>F11</f>
        <v>0.89</v>
      </c>
      <c r="H11" s="30">
        <f t="shared" ref="H11:J11" si="1">G11</f>
        <v>0.89</v>
      </c>
      <c r="I11" s="30">
        <f t="shared" si="1"/>
        <v>0.89</v>
      </c>
      <c r="J11" s="30">
        <f t="shared" si="1"/>
        <v>0.89</v>
      </c>
      <c r="K11" s="39">
        <f ca="1">K89/K$7</f>
        <v>0.88596457712536569</v>
      </c>
      <c r="L11" s="39">
        <f t="shared" ref="L11:N11" ca="1" si="2">L89/L$7</f>
        <v>0.88131436151219111</v>
      </c>
      <c r="M11" s="39">
        <f t="shared" ca="1" si="2"/>
        <v>0.87607439279257182</v>
      </c>
      <c r="N11" s="39">
        <f t="shared" ca="1" si="2"/>
        <v>0.87025108825074926</v>
      </c>
    </row>
    <row r="12" spans="1:19" ht="15.6" x14ac:dyDescent="0.3">
      <c r="A12" t="s">
        <v>180</v>
      </c>
      <c r="F12" s="30">
        <v>0.08</v>
      </c>
      <c r="G12" s="30">
        <f t="shared" ref="G12:J14" si="3">F12</f>
        <v>0.08</v>
      </c>
      <c r="H12" s="30">
        <f t="shared" si="3"/>
        <v>0.08</v>
      </c>
      <c r="I12" s="30">
        <f t="shared" si="3"/>
        <v>0.08</v>
      </c>
      <c r="J12" s="30">
        <f t="shared" si="3"/>
        <v>0.08</v>
      </c>
      <c r="K12" s="39">
        <f t="shared" ref="K12:N12" ca="1" si="4">K90/K$7</f>
        <v>8.3914638991705634E-2</v>
      </c>
      <c r="L12" s="39">
        <f t="shared" ca="1" si="4"/>
        <v>8.8569921406202429E-2</v>
      </c>
      <c r="M12" s="39">
        <f t="shared" ca="1" si="4"/>
        <v>9.3909825226760515E-2</v>
      </c>
      <c r="N12" s="39">
        <f t="shared" ca="1" si="4"/>
        <v>9.9907642261234234E-2</v>
      </c>
    </row>
    <row r="13" spans="1:19" ht="15.6" x14ac:dyDescent="0.3">
      <c r="A13" t="s">
        <v>181</v>
      </c>
      <c r="F13" s="30">
        <v>0.02</v>
      </c>
      <c r="G13" s="30">
        <f t="shared" si="3"/>
        <v>0.02</v>
      </c>
      <c r="H13" s="30">
        <f t="shared" si="3"/>
        <v>0.02</v>
      </c>
      <c r="I13" s="30">
        <f t="shared" si="3"/>
        <v>0.02</v>
      </c>
      <c r="J13" s="30">
        <f t="shared" si="3"/>
        <v>0.02</v>
      </c>
      <c r="K13" s="39">
        <f t="shared" ref="K13:N13" ca="1" si="5">K91/K$7</f>
        <v>2.0398214574368075E-2</v>
      </c>
      <c r="L13" s="39">
        <f t="shared" ca="1" si="5"/>
        <v>2.0635702079696904E-2</v>
      </c>
      <c r="M13" s="39">
        <f t="shared" ca="1" si="5"/>
        <v>2.0754217239260915E-2</v>
      </c>
      <c r="N13" s="39">
        <f t="shared" ca="1" si="5"/>
        <v>2.0781266281332138E-2</v>
      </c>
    </row>
    <row r="14" spans="1:19" ht="15.6" x14ac:dyDescent="0.3">
      <c r="A14" t="s">
        <v>182</v>
      </c>
      <c r="D14" s="9" t="s">
        <v>24</v>
      </c>
      <c r="E14" s="9" t="s">
        <v>25</v>
      </c>
      <c r="F14" s="30">
        <v>0.01</v>
      </c>
      <c r="G14" s="30">
        <f t="shared" si="3"/>
        <v>0.01</v>
      </c>
      <c r="H14" s="30">
        <f t="shared" si="3"/>
        <v>0.01</v>
      </c>
      <c r="I14" s="30">
        <f t="shared" si="3"/>
        <v>0.01</v>
      </c>
      <c r="J14" s="30">
        <f t="shared" si="3"/>
        <v>0.01</v>
      </c>
      <c r="K14" s="39">
        <f t="shared" ref="K14:N14" ca="1" si="6">K92/K$7</f>
        <v>9.722569308560693E-3</v>
      </c>
      <c r="L14" s="39">
        <f t="shared" ca="1" si="6"/>
        <v>9.4800150019094843E-3</v>
      </c>
      <c r="M14" s="39">
        <f t="shared" ca="1" si="6"/>
        <v>9.2615647414065819E-3</v>
      </c>
      <c r="N14" s="39">
        <f t="shared" ca="1" si="6"/>
        <v>9.0600032066843264E-3</v>
      </c>
    </row>
    <row r="15" spans="1:19" ht="14.4" x14ac:dyDescent="0.3">
      <c r="D15" s="9"/>
      <c r="E15" s="9" t="s">
        <v>26</v>
      </c>
      <c r="F15" s="9"/>
      <c r="K15" s="40"/>
      <c r="L15" s="40"/>
      <c r="M15" s="40"/>
      <c r="N15" s="40"/>
    </row>
    <row r="16" spans="1:19" ht="14.4" x14ac:dyDescent="0.3">
      <c r="D16" s="9"/>
      <c r="E16" s="9" t="s">
        <v>27</v>
      </c>
      <c r="F16" s="9"/>
      <c r="K16" s="8"/>
      <c r="L16" s="8"/>
      <c r="M16" s="8"/>
      <c r="N16" s="8"/>
    </row>
    <row r="17" spans="1:16" ht="14.4" x14ac:dyDescent="0.3">
      <c r="K17" s="8"/>
      <c r="L17" s="8"/>
      <c r="M17" s="8"/>
      <c r="N17" s="8"/>
    </row>
    <row r="18" spans="1:16" ht="14.4" x14ac:dyDescent="0.3">
      <c r="K18" s="8"/>
      <c r="L18" s="8"/>
      <c r="M18" s="8"/>
      <c r="N18" s="8"/>
    </row>
    <row r="19" spans="1:16" ht="14.4" x14ac:dyDescent="0.3">
      <c r="K19" s="8"/>
      <c r="L19" s="8"/>
      <c r="M19" s="8"/>
      <c r="N19" s="8"/>
    </row>
    <row r="20" spans="1:16" ht="14.4" x14ac:dyDescent="0.3">
      <c r="A20" s="10" t="s">
        <v>183</v>
      </c>
      <c r="F20" s="4" t="s">
        <v>194</v>
      </c>
      <c r="K20" s="8"/>
      <c r="L20" s="8"/>
      <c r="M20" s="8"/>
      <c r="N20" s="8"/>
    </row>
    <row r="21" spans="1:16" ht="15.75" customHeight="1" x14ac:dyDescent="0.3">
      <c r="A21" t="s">
        <v>185</v>
      </c>
      <c r="F21" s="32">
        <v>327</v>
      </c>
      <c r="G21" s="16">
        <v>353</v>
      </c>
      <c r="H21" s="16">
        <v>389</v>
      </c>
      <c r="I21" s="16">
        <v>389</v>
      </c>
      <c r="J21" s="16">
        <v>423</v>
      </c>
      <c r="K21" s="41">
        <f t="shared" ref="K21:K29" ca="1" si="7">J21+K34</f>
        <v>467.25</v>
      </c>
      <c r="L21" s="41">
        <f t="shared" ref="L21:N21" ca="1" si="8">K21+L34</f>
        <v>511.5</v>
      </c>
      <c r="M21" s="41">
        <f t="shared" ca="1" si="8"/>
        <v>555.75</v>
      </c>
      <c r="N21" s="41">
        <f t="shared" ca="1" si="8"/>
        <v>600</v>
      </c>
      <c r="O21" s="29">
        <f ca="1">N21-J21</f>
        <v>177</v>
      </c>
      <c r="P21" s="4">
        <f ca="1">O21/4</f>
        <v>44.25</v>
      </c>
    </row>
    <row r="22" spans="1:16" ht="15.75" customHeight="1" x14ac:dyDescent="0.3">
      <c r="A22" t="s">
        <v>186</v>
      </c>
      <c r="F22" s="32">
        <v>4</v>
      </c>
      <c r="G22" s="16">
        <v>4</v>
      </c>
      <c r="H22" s="16">
        <v>5</v>
      </c>
      <c r="I22" s="16">
        <v>5</v>
      </c>
      <c r="J22" s="16">
        <v>7</v>
      </c>
      <c r="K22" s="41">
        <f t="shared" si="7"/>
        <v>9</v>
      </c>
      <c r="L22" s="41">
        <f t="shared" ref="L22:N22" si="9">K22+L35</f>
        <v>11</v>
      </c>
      <c r="M22" s="41">
        <f t="shared" si="9"/>
        <v>13</v>
      </c>
      <c r="N22" s="41">
        <f t="shared" si="9"/>
        <v>15</v>
      </c>
    </row>
    <row r="23" spans="1:16" ht="15.75" customHeight="1" x14ac:dyDescent="0.3">
      <c r="A23" t="s">
        <v>187</v>
      </c>
      <c r="F23" s="32">
        <v>92</v>
      </c>
      <c r="G23" s="16">
        <v>117</v>
      </c>
      <c r="H23" s="16">
        <v>138</v>
      </c>
      <c r="I23" s="16">
        <v>138</v>
      </c>
      <c r="J23" s="16">
        <v>222</v>
      </c>
      <c r="K23" s="41">
        <f t="shared" si="7"/>
        <v>265.25</v>
      </c>
      <c r="L23" s="41">
        <f t="shared" ref="L23:M23" si="10">K23+L36</f>
        <v>308.5</v>
      </c>
      <c r="M23" s="41">
        <f t="shared" si="10"/>
        <v>351.75</v>
      </c>
      <c r="N23" s="40">
        <v>395</v>
      </c>
      <c r="O23" s="4">
        <f>N23-J23</f>
        <v>173</v>
      </c>
      <c r="P23" s="4">
        <f>O23/4</f>
        <v>43.25</v>
      </c>
    </row>
    <row r="24" spans="1:16" ht="15.75" customHeight="1" x14ac:dyDescent="0.3">
      <c r="A24" t="s">
        <v>188</v>
      </c>
      <c r="F24" s="32">
        <v>38</v>
      </c>
      <c r="G24" s="16">
        <v>40</v>
      </c>
      <c r="H24" s="16">
        <v>50</v>
      </c>
      <c r="I24" s="16">
        <v>50</v>
      </c>
      <c r="J24" s="16">
        <v>111</v>
      </c>
      <c r="K24" s="41">
        <f t="shared" si="7"/>
        <v>158.25</v>
      </c>
      <c r="L24" s="41">
        <f t="shared" ref="L24:M24" si="11">K24+L37</f>
        <v>205.5</v>
      </c>
      <c r="M24" s="41">
        <f t="shared" si="11"/>
        <v>252.75</v>
      </c>
      <c r="N24" s="40">
        <v>300</v>
      </c>
    </row>
    <row r="25" spans="1:16" ht="15.75" customHeight="1" x14ac:dyDescent="0.3">
      <c r="A25" t="s">
        <v>189</v>
      </c>
      <c r="F25" s="32">
        <v>499</v>
      </c>
      <c r="G25" s="16">
        <v>511</v>
      </c>
      <c r="H25" s="16">
        <v>544</v>
      </c>
      <c r="I25" s="16">
        <v>544</v>
      </c>
      <c r="J25" s="16">
        <v>622</v>
      </c>
      <c r="K25" s="41">
        <f t="shared" si="7"/>
        <v>656</v>
      </c>
      <c r="L25" s="41">
        <f t="shared" ref="L25:N25" si="12">K25+L38</f>
        <v>690</v>
      </c>
      <c r="M25" s="41">
        <f t="shared" si="12"/>
        <v>724</v>
      </c>
      <c r="N25" s="41">
        <f t="shared" si="12"/>
        <v>758</v>
      </c>
    </row>
    <row r="26" spans="1:16" ht="15.75" customHeight="1" x14ac:dyDescent="0.3">
      <c r="A26" t="s">
        <v>190</v>
      </c>
      <c r="F26" s="32">
        <v>183</v>
      </c>
      <c r="G26" s="16">
        <v>168</v>
      </c>
      <c r="H26" s="16">
        <v>163</v>
      </c>
      <c r="I26" s="16">
        <v>163</v>
      </c>
      <c r="J26" s="16">
        <v>185</v>
      </c>
      <c r="K26" s="41">
        <f t="shared" si="7"/>
        <v>207</v>
      </c>
      <c r="L26" s="41">
        <f t="shared" ref="L26:N26" si="13">K26+L39</f>
        <v>229</v>
      </c>
      <c r="M26" s="41">
        <f t="shared" si="13"/>
        <v>251</v>
      </c>
      <c r="N26" s="41">
        <f t="shared" si="13"/>
        <v>273</v>
      </c>
    </row>
    <row r="27" spans="1:16" ht="15.75" customHeight="1" x14ac:dyDescent="0.3">
      <c r="A27" t="s">
        <v>191</v>
      </c>
      <c r="F27" s="32">
        <v>92</v>
      </c>
      <c r="G27" s="16">
        <v>103</v>
      </c>
      <c r="H27" s="16">
        <v>136</v>
      </c>
      <c r="I27" s="16">
        <v>136</v>
      </c>
      <c r="J27" s="16">
        <v>198</v>
      </c>
      <c r="K27" s="41">
        <f t="shared" si="7"/>
        <v>228.5</v>
      </c>
      <c r="L27" s="41">
        <f t="shared" ref="L27:N27" si="14">K27+L40</f>
        <v>259</v>
      </c>
      <c r="M27" s="41">
        <f t="shared" si="14"/>
        <v>289.5</v>
      </c>
      <c r="N27" s="41">
        <f t="shared" si="14"/>
        <v>320</v>
      </c>
    </row>
    <row r="28" spans="1:16" ht="15.75" customHeight="1" x14ac:dyDescent="0.3">
      <c r="A28" t="s">
        <v>192</v>
      </c>
      <c r="F28" s="32">
        <v>584</v>
      </c>
      <c r="G28" s="16">
        <v>599</v>
      </c>
      <c r="H28" s="16">
        <v>733</v>
      </c>
      <c r="I28" s="16">
        <v>733</v>
      </c>
      <c r="J28" s="16">
        <v>896</v>
      </c>
      <c r="K28" s="41">
        <f t="shared" ca="1" si="7"/>
        <v>1044.5</v>
      </c>
      <c r="L28" s="41">
        <f t="shared" ref="L28:N28" ca="1" si="15">K28+L41</f>
        <v>1193</v>
      </c>
      <c r="M28" s="41">
        <f t="shared" ca="1" si="15"/>
        <v>1341.5</v>
      </c>
      <c r="N28" s="41">
        <f t="shared" ca="1" si="15"/>
        <v>1490</v>
      </c>
    </row>
    <row r="29" spans="1:16" ht="15.75" customHeight="1" x14ac:dyDescent="0.3">
      <c r="A29" t="s">
        <v>193</v>
      </c>
      <c r="F29" s="16">
        <v>0</v>
      </c>
      <c r="G29" s="16">
        <v>14</v>
      </c>
      <c r="H29" s="16">
        <v>20</v>
      </c>
      <c r="I29" s="16">
        <v>20</v>
      </c>
      <c r="J29" s="16">
        <v>21</v>
      </c>
      <c r="K29" s="41">
        <f t="shared" ca="1" si="7"/>
        <v>23.25</v>
      </c>
      <c r="L29" s="41">
        <f t="shared" ref="L29:N29" ca="1" si="16">K29+L42</f>
        <v>25.5</v>
      </c>
      <c r="M29" s="41">
        <f t="shared" ca="1" si="16"/>
        <v>27.75</v>
      </c>
      <c r="N29" s="41">
        <f t="shared" ca="1" si="16"/>
        <v>30</v>
      </c>
    </row>
    <row r="30" spans="1:16" ht="15.75" customHeight="1" x14ac:dyDescent="0.3">
      <c r="K30" s="8"/>
      <c r="L30" s="8"/>
      <c r="M30" s="8"/>
      <c r="N30" s="8"/>
    </row>
    <row r="31" spans="1:16" ht="15.75" customHeight="1" x14ac:dyDescent="0.3">
      <c r="K31" s="8"/>
      <c r="L31" s="8"/>
      <c r="M31" s="8"/>
      <c r="N31" s="8"/>
    </row>
    <row r="32" spans="1:16" ht="15.75" customHeight="1" x14ac:dyDescent="0.3">
      <c r="K32" s="8"/>
      <c r="L32" s="8"/>
      <c r="M32" s="8"/>
      <c r="N32" s="8"/>
    </row>
    <row r="33" spans="1:14" ht="15.75" customHeight="1" x14ac:dyDescent="0.3">
      <c r="A33" s="10" t="s">
        <v>195</v>
      </c>
      <c r="K33" s="8"/>
      <c r="L33" s="8"/>
      <c r="M33" s="8"/>
      <c r="N33" s="8"/>
    </row>
    <row r="34" spans="1:14" ht="15.75" customHeight="1" x14ac:dyDescent="0.3">
      <c r="A34" t="s">
        <v>185</v>
      </c>
      <c r="F34" s="16">
        <v>34</v>
      </c>
      <c r="G34" s="32">
        <v>40</v>
      </c>
      <c r="H34" s="16">
        <v>26</v>
      </c>
      <c r="I34" s="16">
        <f>36</f>
        <v>36</v>
      </c>
      <c r="J34" s="11">
        <f>J21-I21</f>
        <v>34</v>
      </c>
      <c r="K34" s="41">
        <f ca="1">(N21-J21)/4</f>
        <v>44.25</v>
      </c>
      <c r="L34" s="41">
        <f t="shared" ref="L34:N42" ca="1" si="17">K34</f>
        <v>44.25</v>
      </c>
      <c r="M34" s="41">
        <f t="shared" ca="1" si="17"/>
        <v>44.25</v>
      </c>
      <c r="N34" s="41">
        <f t="shared" ca="1" si="17"/>
        <v>44.25</v>
      </c>
    </row>
    <row r="35" spans="1:14" ht="15.75" customHeight="1" x14ac:dyDescent="0.3">
      <c r="A35" t="s">
        <v>186</v>
      </c>
      <c r="F35" s="16"/>
      <c r="G35" s="32">
        <v>1</v>
      </c>
      <c r="H35" s="16">
        <v>0</v>
      </c>
      <c r="I35" s="16">
        <v>1</v>
      </c>
      <c r="J35" s="11">
        <f t="shared" ref="J35:J42" si="18">J22-I22</f>
        <v>2</v>
      </c>
      <c r="K35" s="41">
        <f>J35</f>
        <v>2</v>
      </c>
      <c r="L35" s="41">
        <f t="shared" si="17"/>
        <v>2</v>
      </c>
      <c r="M35" s="41">
        <f t="shared" si="17"/>
        <v>2</v>
      </c>
      <c r="N35" s="41">
        <f t="shared" si="17"/>
        <v>2</v>
      </c>
    </row>
    <row r="36" spans="1:14" ht="15.75" customHeight="1" x14ac:dyDescent="0.3">
      <c r="A36" t="s">
        <v>187</v>
      </c>
      <c r="F36" s="16">
        <v>19</v>
      </c>
      <c r="G36" s="32">
        <v>37</v>
      </c>
      <c r="H36" s="16">
        <v>25</v>
      </c>
      <c r="I36" s="16">
        <v>21</v>
      </c>
      <c r="J36" s="11">
        <f t="shared" si="18"/>
        <v>84</v>
      </c>
      <c r="K36" s="41">
        <f>(N23-J23)/4</f>
        <v>43.25</v>
      </c>
      <c r="L36" s="41">
        <f t="shared" si="17"/>
        <v>43.25</v>
      </c>
      <c r="M36" s="41">
        <f t="shared" si="17"/>
        <v>43.25</v>
      </c>
      <c r="N36" s="41">
        <f t="shared" si="17"/>
        <v>43.25</v>
      </c>
    </row>
    <row r="37" spans="1:14" ht="15.75" customHeight="1" x14ac:dyDescent="0.3">
      <c r="A37" t="s">
        <v>188</v>
      </c>
      <c r="F37" s="16"/>
      <c r="G37" s="32">
        <v>8</v>
      </c>
      <c r="H37" s="16">
        <v>2</v>
      </c>
      <c r="I37" s="16">
        <v>10</v>
      </c>
      <c r="J37" s="11">
        <f t="shared" si="18"/>
        <v>61</v>
      </c>
      <c r="K37" s="41">
        <f>(N24-J24)/4</f>
        <v>47.25</v>
      </c>
      <c r="L37" s="41">
        <f t="shared" si="17"/>
        <v>47.25</v>
      </c>
      <c r="M37" s="41">
        <f t="shared" si="17"/>
        <v>47.25</v>
      </c>
      <c r="N37" s="41">
        <f t="shared" si="17"/>
        <v>47.25</v>
      </c>
    </row>
    <row r="38" spans="1:14" ht="15.75" customHeight="1" x14ac:dyDescent="0.3">
      <c r="A38" t="s">
        <v>189</v>
      </c>
      <c r="F38" s="16"/>
      <c r="G38" s="32">
        <v>13</v>
      </c>
      <c r="H38" s="16">
        <v>12</v>
      </c>
      <c r="I38" s="16">
        <v>33</v>
      </c>
      <c r="J38" s="11">
        <f t="shared" si="18"/>
        <v>78</v>
      </c>
      <c r="K38" s="41">
        <f>AVERAGE(G38:J38)</f>
        <v>34</v>
      </c>
      <c r="L38" s="41">
        <f t="shared" si="17"/>
        <v>34</v>
      </c>
      <c r="M38" s="41">
        <f t="shared" si="17"/>
        <v>34</v>
      </c>
      <c r="N38" s="41">
        <f t="shared" si="17"/>
        <v>34</v>
      </c>
    </row>
    <row r="39" spans="1:14" ht="15.75" customHeight="1" x14ac:dyDescent="0.3">
      <c r="A39" t="s">
        <v>190</v>
      </c>
      <c r="F39" s="16">
        <v>6</v>
      </c>
      <c r="G39" s="32">
        <v>11</v>
      </c>
      <c r="H39" s="16">
        <v>-15</v>
      </c>
      <c r="I39" s="16">
        <v>-5</v>
      </c>
      <c r="J39" s="11">
        <f t="shared" si="18"/>
        <v>22</v>
      </c>
      <c r="K39" s="41">
        <f>J39</f>
        <v>22</v>
      </c>
      <c r="L39" s="41">
        <f t="shared" si="17"/>
        <v>22</v>
      </c>
      <c r="M39" s="41">
        <f t="shared" si="17"/>
        <v>22</v>
      </c>
      <c r="N39" s="41">
        <f t="shared" si="17"/>
        <v>22</v>
      </c>
    </row>
    <row r="40" spans="1:14" ht="15.75" customHeight="1" x14ac:dyDescent="0.3">
      <c r="A40" t="s">
        <v>191</v>
      </c>
      <c r="F40" s="16">
        <v>6</v>
      </c>
      <c r="G40" s="32">
        <v>16</v>
      </c>
      <c r="H40" s="16">
        <v>11</v>
      </c>
      <c r="I40" s="16">
        <v>33</v>
      </c>
      <c r="J40" s="11">
        <f t="shared" si="18"/>
        <v>62</v>
      </c>
      <c r="K40" s="41">
        <f>AVERAGE(G40:J40)</f>
        <v>30.5</v>
      </c>
      <c r="L40" s="41">
        <f t="shared" si="17"/>
        <v>30.5</v>
      </c>
      <c r="M40" s="41">
        <f t="shared" si="17"/>
        <v>30.5</v>
      </c>
      <c r="N40" s="41">
        <f t="shared" si="17"/>
        <v>30.5</v>
      </c>
    </row>
    <row r="41" spans="1:14" ht="15.75" customHeight="1" x14ac:dyDescent="0.3">
      <c r="A41" t="s">
        <v>192</v>
      </c>
      <c r="F41" s="16">
        <v>37</v>
      </c>
      <c r="G41" s="32">
        <v>47</v>
      </c>
      <c r="H41" s="16">
        <v>15</v>
      </c>
      <c r="I41" s="16">
        <v>134</v>
      </c>
      <c r="J41" s="11">
        <f t="shared" si="18"/>
        <v>163</v>
      </c>
      <c r="K41" s="41">
        <f ca="1">AVERAGE(I41:K41)</f>
        <v>148.5</v>
      </c>
      <c r="L41" s="41">
        <f t="shared" ca="1" si="17"/>
        <v>148.5</v>
      </c>
      <c r="M41" s="41">
        <f t="shared" ca="1" si="17"/>
        <v>148.5</v>
      </c>
      <c r="N41" s="41">
        <f t="shared" ca="1" si="17"/>
        <v>148.5</v>
      </c>
    </row>
    <row r="42" spans="1:14" ht="15.75" customHeight="1" x14ac:dyDescent="0.3">
      <c r="A42" t="s">
        <v>193</v>
      </c>
      <c r="F42" s="16">
        <v>4</v>
      </c>
      <c r="G42" s="32">
        <v>0</v>
      </c>
      <c r="H42" s="16">
        <v>2</v>
      </c>
      <c r="I42" s="16">
        <v>6</v>
      </c>
      <c r="J42" s="11">
        <f t="shared" si="18"/>
        <v>1</v>
      </c>
      <c r="K42" s="41">
        <f ca="1">AVERAGE(G42:K42)</f>
        <v>2.25</v>
      </c>
      <c r="L42" s="41">
        <f t="shared" ca="1" si="17"/>
        <v>2.25</v>
      </c>
      <c r="M42" s="41">
        <f t="shared" ca="1" si="17"/>
        <v>2.25</v>
      </c>
      <c r="N42" s="41">
        <f t="shared" ca="1" si="17"/>
        <v>2.25</v>
      </c>
    </row>
    <row r="43" spans="1:14" ht="15.75" customHeight="1" x14ac:dyDescent="0.3">
      <c r="A43" s="9" t="s">
        <v>196</v>
      </c>
      <c r="F43" s="10">
        <f>SUM(F34:F42)</f>
        <v>106</v>
      </c>
      <c r="G43" s="10">
        <f>SUM(G34:G42)</f>
        <v>173</v>
      </c>
      <c r="H43" s="10">
        <f>SUM(H34:H42)</f>
        <v>78</v>
      </c>
      <c r="I43" s="10">
        <f>SUM(I34:I42)</f>
        <v>269</v>
      </c>
      <c r="J43" s="10">
        <f>SUM(J34:J42)</f>
        <v>507</v>
      </c>
      <c r="K43" s="10">
        <f t="shared" ref="K43:N43" ca="1" si="19">SUM(K34:K42)</f>
        <v>374</v>
      </c>
      <c r="L43" s="10">
        <f t="shared" ca="1" si="19"/>
        <v>374</v>
      </c>
      <c r="M43" s="10">
        <f t="shared" ca="1" si="19"/>
        <v>374</v>
      </c>
      <c r="N43" s="10">
        <f t="shared" ca="1" si="19"/>
        <v>374</v>
      </c>
    </row>
    <row r="44" spans="1:14" ht="15.75" customHeight="1" x14ac:dyDescent="0.3">
      <c r="K44" s="8"/>
      <c r="L44" s="8"/>
      <c r="M44" s="8"/>
      <c r="N44" s="8"/>
    </row>
    <row r="45" spans="1:14" ht="15.75" customHeight="1" x14ac:dyDescent="0.3">
      <c r="K45" s="8"/>
      <c r="L45" s="8"/>
      <c r="M45" s="8"/>
      <c r="N45" s="8"/>
    </row>
    <row r="46" spans="1:14" ht="15.75" customHeight="1" x14ac:dyDescent="0.3">
      <c r="A46" s="10" t="s">
        <v>197</v>
      </c>
      <c r="F46" s="4" t="s">
        <v>198</v>
      </c>
      <c r="K46" s="8"/>
      <c r="L46" s="8"/>
      <c r="M46" s="8"/>
      <c r="N46" s="8"/>
    </row>
    <row r="47" spans="1:14" ht="15.75" customHeight="1" x14ac:dyDescent="0.3">
      <c r="A47" t="s">
        <v>185</v>
      </c>
      <c r="H47" s="16">
        <v>1360000</v>
      </c>
      <c r="I47" s="16">
        <f>1.5*10^6</f>
        <v>1500000</v>
      </c>
      <c r="J47" s="16">
        <f>1.74*10^6</f>
        <v>1740000</v>
      </c>
      <c r="K47" s="45">
        <f ca="1">K21*K77</f>
        <v>1922021.2765957448</v>
      </c>
      <c r="L47" s="45">
        <f t="shared" ref="L47:N47" ca="1" si="20">L21*L77</f>
        <v>2104042.5531914895</v>
      </c>
      <c r="M47" s="45">
        <f t="shared" ca="1" si="20"/>
        <v>2286063.8297872343</v>
      </c>
      <c r="N47" s="45">
        <f t="shared" ca="1" si="20"/>
        <v>2468085.1063829791</v>
      </c>
    </row>
    <row r="48" spans="1:14" ht="15.75" customHeight="1" x14ac:dyDescent="0.3">
      <c r="A48" t="s">
        <v>186</v>
      </c>
      <c r="H48" s="16">
        <v>18000</v>
      </c>
      <c r="I48" s="16">
        <v>19000</v>
      </c>
      <c r="J48" s="16">
        <v>24000</v>
      </c>
      <c r="K48" s="45">
        <f t="shared" ref="K48:N48" si="21">K22*K78</f>
        <v>30857.142857142855</v>
      </c>
      <c r="L48" s="45">
        <f t="shared" si="21"/>
        <v>37714.28571428571</v>
      </c>
      <c r="M48" s="45">
        <f t="shared" si="21"/>
        <v>44571.428571428572</v>
      </c>
      <c r="N48" s="45">
        <f t="shared" si="21"/>
        <v>51428.571428571428</v>
      </c>
    </row>
    <row r="49" spans="1:14" ht="15.75" customHeight="1" x14ac:dyDescent="0.3">
      <c r="A49" t="s">
        <v>187</v>
      </c>
      <c r="H49" s="16">
        <v>105000</v>
      </c>
      <c r="I49" s="16">
        <v>132000</v>
      </c>
      <c r="J49" s="16">
        <v>274000</v>
      </c>
      <c r="K49" s="45">
        <f t="shared" ref="K49:N49" si="22">K23*K79</f>
        <v>327380.63063063065</v>
      </c>
      <c r="L49" s="45">
        <f t="shared" si="22"/>
        <v>380761.26126126124</v>
      </c>
      <c r="M49" s="45">
        <f t="shared" si="22"/>
        <v>434141.89189189189</v>
      </c>
      <c r="N49" s="45">
        <f t="shared" si="22"/>
        <v>487522.52252252254</v>
      </c>
    </row>
    <row r="50" spans="1:14" ht="15.75" customHeight="1" x14ac:dyDescent="0.3">
      <c r="A50" t="s">
        <v>188</v>
      </c>
      <c r="H50" s="16">
        <v>13000</v>
      </c>
      <c r="I50" s="16">
        <v>20000</v>
      </c>
      <c r="J50" s="16">
        <v>64000</v>
      </c>
      <c r="K50" s="45">
        <f t="shared" ref="K50:N50" si="23">K24*K80</f>
        <v>91243.24324324324</v>
      </c>
      <c r="L50" s="45">
        <f t="shared" si="23"/>
        <v>118486.48648648649</v>
      </c>
      <c r="M50" s="45">
        <f t="shared" si="23"/>
        <v>145729.72972972973</v>
      </c>
      <c r="N50" s="45">
        <f t="shared" si="23"/>
        <v>172972.97297297299</v>
      </c>
    </row>
    <row r="51" spans="1:14" ht="15.75" customHeight="1" x14ac:dyDescent="0.3">
      <c r="A51" t="s">
        <v>189</v>
      </c>
      <c r="H51" s="16">
        <v>410000</v>
      </c>
      <c r="I51" s="16">
        <v>418000</v>
      </c>
      <c r="J51" s="16">
        <f>443000</f>
        <v>443000</v>
      </c>
      <c r="K51" s="45">
        <f t="shared" ref="K51:N51" si="24">K25*K81</f>
        <v>467215.43408360129</v>
      </c>
      <c r="L51" s="45">
        <f t="shared" si="24"/>
        <v>491430.86816720257</v>
      </c>
      <c r="M51" s="45">
        <f t="shared" si="24"/>
        <v>515646.30225080386</v>
      </c>
      <c r="N51" s="45">
        <f t="shared" si="24"/>
        <v>539861.73633440514</v>
      </c>
    </row>
    <row r="52" spans="1:14" ht="15.75" customHeight="1" x14ac:dyDescent="0.3">
      <c r="A52" t="s">
        <v>190</v>
      </c>
      <c r="H52" s="16">
        <v>83000</v>
      </c>
      <c r="I52" s="16">
        <v>78000</v>
      </c>
      <c r="J52" s="16">
        <v>87000</v>
      </c>
      <c r="K52" s="45">
        <f t="shared" ref="K52:N52" si="25">K26*K82</f>
        <v>97345.945945945947</v>
      </c>
      <c r="L52" s="45">
        <f t="shared" si="25"/>
        <v>107691.89189189189</v>
      </c>
      <c r="M52" s="45">
        <f t="shared" si="25"/>
        <v>118037.83783783784</v>
      </c>
      <c r="N52" s="45">
        <f t="shared" si="25"/>
        <v>128383.78378378379</v>
      </c>
    </row>
    <row r="53" spans="1:14" ht="15.75" customHeight="1" x14ac:dyDescent="0.3">
      <c r="A53" t="s">
        <v>191</v>
      </c>
      <c r="H53" s="16">
        <v>85000</v>
      </c>
      <c r="I53" s="16">
        <v>107000</v>
      </c>
      <c r="J53" s="16">
        <v>145000</v>
      </c>
      <c r="K53" s="45">
        <f t="shared" ref="K53:N53" si="26">K27*K83</f>
        <v>167335.8585858586</v>
      </c>
      <c r="L53" s="45">
        <f t="shared" si="26"/>
        <v>189671.71717171717</v>
      </c>
      <c r="M53" s="45">
        <f t="shared" si="26"/>
        <v>212007.57575757577</v>
      </c>
      <c r="N53" s="45">
        <f t="shared" si="26"/>
        <v>234343.43434343435</v>
      </c>
    </row>
    <row r="54" spans="1:14" ht="15.75" customHeight="1" x14ac:dyDescent="0.3">
      <c r="A54" t="s">
        <v>192</v>
      </c>
      <c r="H54" s="16">
        <v>388000</v>
      </c>
      <c r="I54" s="16">
        <v>455000</v>
      </c>
      <c r="J54" s="16">
        <v>554000</v>
      </c>
      <c r="K54" s="45">
        <f t="shared" ref="K54:N54" ca="1" si="27">K28*K84</f>
        <v>645818.08035714284</v>
      </c>
      <c r="L54" s="45">
        <f t="shared" ca="1" si="27"/>
        <v>737636.16071428568</v>
      </c>
      <c r="M54" s="45">
        <f t="shared" ca="1" si="27"/>
        <v>829454.24107142864</v>
      </c>
      <c r="N54" s="45">
        <f t="shared" ca="1" si="27"/>
        <v>921272.32142857148</v>
      </c>
    </row>
    <row r="55" spans="1:14" ht="15.75" customHeight="1" x14ac:dyDescent="0.3">
      <c r="A55" t="s">
        <v>193</v>
      </c>
      <c r="H55" s="16">
        <v>51000</v>
      </c>
      <c r="I55" s="16">
        <v>59000</v>
      </c>
      <c r="J55" s="16">
        <v>115000</v>
      </c>
      <c r="K55" s="45">
        <f t="shared" ref="K55:N55" ca="1" si="28">K29*K85</f>
        <v>127321.42857142857</v>
      </c>
      <c r="L55" s="45">
        <f t="shared" ca="1" si="28"/>
        <v>139642.85714285713</v>
      </c>
      <c r="M55" s="45">
        <f t="shared" ca="1" si="28"/>
        <v>151964.28571428571</v>
      </c>
      <c r="N55" s="45">
        <f t="shared" ca="1" si="28"/>
        <v>164285.71428571429</v>
      </c>
    </row>
    <row r="56" spans="1:14" ht="15.75" customHeight="1" x14ac:dyDescent="0.3">
      <c r="A56" s="9" t="s">
        <v>196</v>
      </c>
      <c r="H56" s="9">
        <f>SUM(H47:H55)</f>
        <v>2513000</v>
      </c>
      <c r="I56" s="9">
        <f t="shared" ref="I56:N56" si="29">SUM(I47:I55)</f>
        <v>2788000</v>
      </c>
      <c r="J56" s="9">
        <f t="shared" si="29"/>
        <v>3446000</v>
      </c>
      <c r="K56" s="44">
        <f t="shared" ca="1" si="29"/>
        <v>3876539.0408707391</v>
      </c>
      <c r="L56" s="44">
        <f t="shared" ca="1" si="29"/>
        <v>4307078.0817414774</v>
      </c>
      <c r="M56" s="44">
        <f t="shared" ca="1" si="29"/>
        <v>4737617.1226122156</v>
      </c>
      <c r="N56" s="44">
        <f t="shared" ca="1" si="29"/>
        <v>5168156.1634829557</v>
      </c>
    </row>
    <row r="57" spans="1:14" ht="15.75" customHeight="1" x14ac:dyDescent="0.3">
      <c r="K57" s="8"/>
      <c r="L57" s="8"/>
      <c r="M57" s="8"/>
      <c r="N57" s="8"/>
    </row>
    <row r="58" spans="1:14" ht="15.75" customHeight="1" x14ac:dyDescent="0.3">
      <c r="K58" s="8"/>
      <c r="L58" s="8"/>
      <c r="M58" s="8"/>
      <c r="N58" s="8"/>
    </row>
    <row r="59" spans="1:14" ht="15.75" customHeight="1" x14ac:dyDescent="0.3">
      <c r="K59" s="8"/>
      <c r="L59" s="8"/>
      <c r="M59" s="8"/>
      <c r="N59" s="8"/>
    </row>
    <row r="60" spans="1:14" ht="15.75" customHeight="1" x14ac:dyDescent="0.3">
      <c r="A60" s="33" t="s">
        <v>199</v>
      </c>
      <c r="F60" s="36" t="s">
        <v>204</v>
      </c>
      <c r="K60" s="8"/>
      <c r="L60" s="8"/>
      <c r="M60" s="8"/>
      <c r="N60" s="8"/>
    </row>
    <row r="61" spans="1:14" ht="15.75" customHeight="1" x14ac:dyDescent="0.3">
      <c r="A61" t="s">
        <v>179</v>
      </c>
      <c r="H61" s="4">
        <f>SUM(H47:H50)</f>
        <v>1496000</v>
      </c>
      <c r="I61" s="4">
        <f t="shared" ref="I61:J61" si="30">SUM(I47:I50)</f>
        <v>1671000</v>
      </c>
      <c r="J61" s="4">
        <f t="shared" si="30"/>
        <v>2102000</v>
      </c>
      <c r="K61" s="37">
        <f ca="1">SUM(K47:K50)</f>
        <v>2371502.2933267616</v>
      </c>
      <c r="L61" s="37">
        <f ca="1">SUM(L47:L50)</f>
        <v>2641004.5866535231</v>
      </c>
      <c r="M61" s="37">
        <f t="shared" ref="M61:N61" ca="1" si="31">SUM(M47:M50)</f>
        <v>2910506.8799802847</v>
      </c>
      <c r="N61" s="37">
        <f t="shared" ca="1" si="31"/>
        <v>3180009.1733070458</v>
      </c>
    </row>
    <row r="62" spans="1:14" ht="15.75" customHeight="1" x14ac:dyDescent="0.3">
      <c r="A62" t="s">
        <v>180</v>
      </c>
      <c r="H62" s="4">
        <f>SUM(H51:H53)</f>
        <v>578000</v>
      </c>
      <c r="I62" s="4">
        <f t="shared" ref="I62:J62" si="32">SUM(I51:I53)</f>
        <v>603000</v>
      </c>
      <c r="J62" s="4">
        <f t="shared" si="32"/>
        <v>675000</v>
      </c>
      <c r="K62" s="37">
        <f>SUM(K51:K53)</f>
        <v>731897.23861540586</v>
      </c>
      <c r="L62" s="37">
        <f t="shared" ref="L62:N62" si="33">SUM(L51:L53)</f>
        <v>788794.47723081172</v>
      </c>
      <c r="M62" s="37">
        <f t="shared" si="33"/>
        <v>845691.71584621747</v>
      </c>
      <c r="N62" s="37">
        <f t="shared" si="33"/>
        <v>902588.95446162322</v>
      </c>
    </row>
    <row r="63" spans="1:14" ht="15.75" customHeight="1" x14ac:dyDescent="0.3">
      <c r="A63" t="s">
        <v>181</v>
      </c>
      <c r="H63" s="4">
        <f>H54</f>
        <v>388000</v>
      </c>
      <c r="I63" s="4">
        <f t="shared" ref="I63:J63" si="34">I54</f>
        <v>455000</v>
      </c>
      <c r="J63" s="4">
        <f t="shared" si="34"/>
        <v>554000</v>
      </c>
      <c r="K63" s="37">
        <f ca="1">SUM(K54)</f>
        <v>645818.08035714284</v>
      </c>
      <c r="L63" s="37">
        <f t="shared" ref="L63:N63" ca="1" si="35">SUM(L54)</f>
        <v>737636.16071428568</v>
      </c>
      <c r="M63" s="37">
        <f t="shared" ca="1" si="35"/>
        <v>829454.24107142864</v>
      </c>
      <c r="N63" s="37">
        <f t="shared" ca="1" si="35"/>
        <v>921272.32142857148</v>
      </c>
    </row>
    <row r="64" spans="1:14" ht="15.75" customHeight="1" x14ac:dyDescent="0.3">
      <c r="A64" t="s">
        <v>182</v>
      </c>
      <c r="H64" s="4">
        <f>H55</f>
        <v>51000</v>
      </c>
      <c r="I64" s="4">
        <f t="shared" ref="I64:J64" si="36">I55</f>
        <v>59000</v>
      </c>
      <c r="J64" s="4">
        <f t="shared" si="36"/>
        <v>115000</v>
      </c>
      <c r="K64" s="37">
        <f ca="1">K55</f>
        <v>127321.42857142857</v>
      </c>
      <c r="L64" s="37">
        <f t="shared" ref="L64:N64" ca="1" si="37">L55</f>
        <v>139642.85714285713</v>
      </c>
      <c r="M64" s="37">
        <f t="shared" ca="1" si="37"/>
        <v>151964.28571428571</v>
      </c>
      <c r="N64" s="37">
        <f t="shared" ca="1" si="37"/>
        <v>164285.71428571429</v>
      </c>
    </row>
    <row r="65" spans="1:14" ht="15.75" customHeight="1" x14ac:dyDescent="0.3">
      <c r="K65" s="8"/>
      <c r="L65" s="8"/>
      <c r="M65" s="8"/>
      <c r="N65" s="8"/>
    </row>
    <row r="66" spans="1:14" ht="15.75" customHeight="1" x14ac:dyDescent="0.3">
      <c r="A66" s="33" t="s">
        <v>200</v>
      </c>
      <c r="F66" s="36" t="s">
        <v>205</v>
      </c>
      <c r="K66" s="8"/>
      <c r="L66" s="8"/>
      <c r="M66" s="8"/>
      <c r="N66" s="8"/>
    </row>
    <row r="67" spans="1:14" ht="15.75" customHeight="1" x14ac:dyDescent="0.3">
      <c r="A67" t="s">
        <v>179</v>
      </c>
      <c r="F67" s="4" t="s">
        <v>201</v>
      </c>
      <c r="H67" s="29">
        <f>H11*H$7/H61*(10^7)</f>
        <v>128764.4385026738</v>
      </c>
      <c r="I67" s="29">
        <f t="shared" ref="I67:J67" si="38">I11*I$7/I61*(10^7)</f>
        <v>153387.85158587672</v>
      </c>
      <c r="J67" s="29">
        <f t="shared" si="38"/>
        <v>171797.09800190295</v>
      </c>
      <c r="K67" s="37">
        <f>J67*(1+K72)</f>
        <v>198532.67737906182</v>
      </c>
      <c r="L67" s="37">
        <f t="shared" ref="L67" si="39">K67*(1+L72)</f>
        <v>229428.92776257519</v>
      </c>
      <c r="M67" s="37">
        <f t="shared" ref="M67:N67" si="40">L67*(1+M72)</f>
        <v>265133.34524665185</v>
      </c>
      <c r="N67" s="37">
        <f t="shared" si="40"/>
        <v>306394.1912086425</v>
      </c>
    </row>
    <row r="68" spans="1:14" ht="15.75" customHeight="1" x14ac:dyDescent="0.3">
      <c r="A68" t="s">
        <v>180</v>
      </c>
      <c r="H68" s="29">
        <f t="shared" ref="H68:J70" si="41">H12*H$7/H62*(10^7)</f>
        <v>29957.093425605537</v>
      </c>
      <c r="I68" s="29">
        <f t="shared" si="41"/>
        <v>38207.628524046435</v>
      </c>
      <c r="J68" s="29">
        <f t="shared" si="41"/>
        <v>48088.888888888883</v>
      </c>
      <c r="K68" s="37">
        <f t="shared" ref="K68:N70" ca="1" si="42">J68*(1+K73)</f>
        <v>60929.387478208635</v>
      </c>
      <c r="L68" s="37">
        <f t="shared" ca="1" si="42"/>
        <v>77198.503526402928</v>
      </c>
      <c r="M68" s="37">
        <f t="shared" ca="1" si="42"/>
        <v>97811.732455828431</v>
      </c>
      <c r="N68" s="37">
        <f t="shared" ca="1" si="42"/>
        <v>123929.02153522278</v>
      </c>
    </row>
    <row r="69" spans="1:14" ht="15.75" customHeight="1" x14ac:dyDescent="0.3">
      <c r="A69" t="s">
        <v>181</v>
      </c>
      <c r="H69" s="29">
        <f t="shared" si="41"/>
        <v>11156.701030927834</v>
      </c>
      <c r="I69" s="29">
        <f t="shared" si="41"/>
        <v>12658.9010989011</v>
      </c>
      <c r="J69" s="29">
        <f t="shared" si="41"/>
        <v>14648.014440433213</v>
      </c>
      <c r="K69" s="37">
        <f t="shared" ca="1" si="42"/>
        <v>16784.992317661003</v>
      </c>
      <c r="L69" s="37">
        <f t="shared" ca="1" si="42"/>
        <v>19233.730841106855</v>
      </c>
      <c r="M69" s="37">
        <f t="shared" ca="1" si="42"/>
        <v>22039.712325569646</v>
      </c>
      <c r="N69" s="37">
        <f t="shared" ca="1" si="42"/>
        <v>25255.05443570577</v>
      </c>
    </row>
    <row r="70" spans="1:14" ht="15.75" customHeight="1" x14ac:dyDescent="0.3">
      <c r="A70" t="s">
        <v>182</v>
      </c>
      <c r="H70" s="29">
        <f t="shared" si="41"/>
        <v>42439.215686274511</v>
      </c>
      <c r="I70" s="29">
        <f t="shared" si="41"/>
        <v>48811.864406779663</v>
      </c>
      <c r="J70" s="29">
        <f t="shared" si="41"/>
        <v>35282.608695652176</v>
      </c>
      <c r="K70" s="37">
        <f t="shared" si="42"/>
        <v>40580.625341919971</v>
      </c>
      <c r="L70" s="37">
        <f t="shared" si="42"/>
        <v>46674.189183301758</v>
      </c>
      <c r="M70" s="37">
        <f t="shared" si="42"/>
        <v>53682.759138466579</v>
      </c>
      <c r="N70" s="37">
        <f t="shared" si="42"/>
        <v>61743.732010016982</v>
      </c>
    </row>
    <row r="71" spans="1:14" ht="15.75" customHeight="1" x14ac:dyDescent="0.3">
      <c r="A71" s="33" t="s">
        <v>202</v>
      </c>
      <c r="K71" s="8"/>
      <c r="L71" s="8"/>
      <c r="M71" s="8"/>
      <c r="N71" s="8"/>
    </row>
    <row r="72" spans="1:14" ht="15.75" customHeight="1" x14ac:dyDescent="0.3">
      <c r="A72" t="s">
        <v>179</v>
      </c>
      <c r="I72" s="34">
        <f>I67/H67-1</f>
        <v>0.1912283652966158</v>
      </c>
      <c r="J72" s="34">
        <f>J67/I67-1</f>
        <v>0.12001762998629339</v>
      </c>
      <c r="K72" s="42">
        <f>AVERAGE(I72:J72)</f>
        <v>0.1556229976414546</v>
      </c>
      <c r="L72" s="42">
        <f>K72</f>
        <v>0.1556229976414546</v>
      </c>
      <c r="M72" s="42">
        <f>L72</f>
        <v>0.1556229976414546</v>
      </c>
      <c r="N72" s="42">
        <f t="shared" ref="N72" si="43">AVERAGE(L72:M72)</f>
        <v>0.1556229976414546</v>
      </c>
    </row>
    <row r="73" spans="1:14" ht="15.75" customHeight="1" x14ac:dyDescent="0.3">
      <c r="A73" t="s">
        <v>180</v>
      </c>
      <c r="I73" s="34">
        <f t="shared" ref="I73:J75" si="44">I68/H68-1</f>
        <v>0.27541173575233535</v>
      </c>
      <c r="J73" s="34">
        <f t="shared" si="44"/>
        <v>0.25862009097538086</v>
      </c>
      <c r="K73" s="42">
        <f ca="1">AVERAGE(I73:K73)</f>
        <v>0.2670159133638581</v>
      </c>
      <c r="L73" s="42">
        <f ca="1">K73</f>
        <v>0.2670159133638581</v>
      </c>
      <c r="M73" s="42">
        <f t="shared" ref="M73:N73" ca="1" si="45">AVERAGE(K73:M73)</f>
        <v>0.2670159133638581</v>
      </c>
      <c r="N73" s="42">
        <f t="shared" ca="1" si="45"/>
        <v>0.2670159133638581</v>
      </c>
    </row>
    <row r="74" spans="1:14" ht="15.75" customHeight="1" x14ac:dyDescent="0.3">
      <c r="A74" t="s">
        <v>181</v>
      </c>
      <c r="I74" s="34">
        <f t="shared" si="44"/>
        <v>0.13464554296193576</v>
      </c>
      <c r="J74" s="34">
        <f t="shared" si="44"/>
        <v>0.15713159665216003</v>
      </c>
      <c r="K74" s="42">
        <f ca="1">AVERAGE(I74:K74)</f>
        <v>0.1458885698070479</v>
      </c>
      <c r="L74" s="42">
        <f ca="1">K74</f>
        <v>0.1458885698070479</v>
      </c>
      <c r="M74" s="42">
        <f ca="1">L74</f>
        <v>0.1458885698070479</v>
      </c>
      <c r="N74" s="42">
        <f ca="1">M74</f>
        <v>0.1458885698070479</v>
      </c>
    </row>
    <row r="75" spans="1:14" ht="15.75" customHeight="1" x14ac:dyDescent="0.3">
      <c r="A75" t="s">
        <v>182</v>
      </c>
      <c r="I75" s="34">
        <f t="shared" si="44"/>
        <v>0.15015943667795351</v>
      </c>
      <c r="J75" s="34">
        <f t="shared" si="44"/>
        <v>-0.27717145975781166</v>
      </c>
      <c r="K75" s="42">
        <f>I75</f>
        <v>0.15015943667795351</v>
      </c>
      <c r="L75" s="42">
        <f>K75</f>
        <v>0.15015943667795351</v>
      </c>
      <c r="M75" s="42">
        <f>L75</f>
        <v>0.15015943667795351</v>
      </c>
      <c r="N75" s="42">
        <f>M75</f>
        <v>0.15015943667795351</v>
      </c>
    </row>
    <row r="76" spans="1:14" ht="15.75" customHeight="1" x14ac:dyDescent="0.3">
      <c r="A76" s="33" t="s">
        <v>203</v>
      </c>
      <c r="K76" s="8"/>
      <c r="L76" s="8"/>
      <c r="M76" s="8"/>
      <c r="N76" s="8"/>
    </row>
    <row r="77" spans="1:14" ht="15.75" customHeight="1" x14ac:dyDescent="0.3">
      <c r="A77" t="s">
        <v>185</v>
      </c>
      <c r="H77" s="29">
        <f>H47/H21</f>
        <v>3496.1439588688945</v>
      </c>
      <c r="I77" s="29">
        <f t="shared" ref="I77:J77" si="46">I47/I21</f>
        <v>3856.0411311053986</v>
      </c>
      <c r="J77" s="29">
        <f t="shared" si="46"/>
        <v>4113.4751773049647</v>
      </c>
      <c r="K77" s="41">
        <f>J77</f>
        <v>4113.4751773049647</v>
      </c>
      <c r="L77" s="41">
        <f t="shared" ref="L77:N77" si="47">K77</f>
        <v>4113.4751773049647</v>
      </c>
      <c r="M77" s="41">
        <f t="shared" si="47"/>
        <v>4113.4751773049647</v>
      </c>
      <c r="N77" s="41">
        <f t="shared" si="47"/>
        <v>4113.4751773049647</v>
      </c>
    </row>
    <row r="78" spans="1:14" ht="15.75" customHeight="1" x14ac:dyDescent="0.3">
      <c r="A78" t="s">
        <v>186</v>
      </c>
      <c r="H78" s="29">
        <f t="shared" ref="H78:J85" si="48">H48/H22</f>
        <v>3600</v>
      </c>
      <c r="I78" s="29">
        <f t="shared" si="48"/>
        <v>3800</v>
      </c>
      <c r="J78" s="29">
        <f t="shared" si="48"/>
        <v>3428.5714285714284</v>
      </c>
      <c r="K78" s="41">
        <f t="shared" ref="K78:N85" si="49">J78</f>
        <v>3428.5714285714284</v>
      </c>
      <c r="L78" s="41">
        <f t="shared" si="49"/>
        <v>3428.5714285714284</v>
      </c>
      <c r="M78" s="41">
        <f t="shared" si="49"/>
        <v>3428.5714285714284</v>
      </c>
      <c r="N78" s="41">
        <f t="shared" si="49"/>
        <v>3428.5714285714284</v>
      </c>
    </row>
    <row r="79" spans="1:14" ht="15.75" customHeight="1" x14ac:dyDescent="0.3">
      <c r="A79" t="s">
        <v>187</v>
      </c>
      <c r="H79" s="29">
        <f t="shared" si="48"/>
        <v>760.86956521739125</v>
      </c>
      <c r="I79" s="29">
        <f t="shared" si="48"/>
        <v>956.52173913043475</v>
      </c>
      <c r="J79" s="29">
        <f t="shared" si="48"/>
        <v>1234.2342342342342</v>
      </c>
      <c r="K79" s="41">
        <f t="shared" si="49"/>
        <v>1234.2342342342342</v>
      </c>
      <c r="L79" s="41">
        <f t="shared" si="49"/>
        <v>1234.2342342342342</v>
      </c>
      <c r="M79" s="41">
        <f t="shared" si="49"/>
        <v>1234.2342342342342</v>
      </c>
      <c r="N79" s="41">
        <f t="shared" si="49"/>
        <v>1234.2342342342342</v>
      </c>
    </row>
    <row r="80" spans="1:14" ht="15.75" customHeight="1" x14ac:dyDescent="0.3">
      <c r="A80" t="s">
        <v>188</v>
      </c>
      <c r="H80" s="29">
        <f t="shared" si="48"/>
        <v>260</v>
      </c>
      <c r="I80" s="29">
        <f t="shared" si="48"/>
        <v>400</v>
      </c>
      <c r="J80" s="29">
        <f t="shared" si="48"/>
        <v>576.5765765765766</v>
      </c>
      <c r="K80" s="41">
        <f t="shared" si="49"/>
        <v>576.5765765765766</v>
      </c>
      <c r="L80" s="41">
        <f t="shared" si="49"/>
        <v>576.5765765765766</v>
      </c>
      <c r="M80" s="41">
        <f t="shared" si="49"/>
        <v>576.5765765765766</v>
      </c>
      <c r="N80" s="41">
        <f t="shared" si="49"/>
        <v>576.5765765765766</v>
      </c>
    </row>
    <row r="81" spans="1:14" ht="15.75" customHeight="1" x14ac:dyDescent="0.3">
      <c r="A81" t="s">
        <v>189</v>
      </c>
      <c r="H81" s="29">
        <f t="shared" si="48"/>
        <v>753.67647058823525</v>
      </c>
      <c r="I81" s="29">
        <f t="shared" si="48"/>
        <v>768.38235294117646</v>
      </c>
      <c r="J81" s="29">
        <f t="shared" si="48"/>
        <v>712.21864951768487</v>
      </c>
      <c r="K81" s="41">
        <f t="shared" si="49"/>
        <v>712.21864951768487</v>
      </c>
      <c r="L81" s="41">
        <f t="shared" si="49"/>
        <v>712.21864951768487</v>
      </c>
      <c r="M81" s="41">
        <f t="shared" si="49"/>
        <v>712.21864951768487</v>
      </c>
      <c r="N81" s="41">
        <f t="shared" si="49"/>
        <v>712.21864951768487</v>
      </c>
    </row>
    <row r="82" spans="1:14" ht="15.75" customHeight="1" x14ac:dyDescent="0.3">
      <c r="A82" t="s">
        <v>190</v>
      </c>
      <c r="H82" s="29">
        <f t="shared" si="48"/>
        <v>509.20245398773005</v>
      </c>
      <c r="I82" s="29">
        <f t="shared" si="48"/>
        <v>478.52760736196319</v>
      </c>
      <c r="J82" s="29">
        <f t="shared" si="48"/>
        <v>470.27027027027026</v>
      </c>
      <c r="K82" s="41">
        <f t="shared" si="49"/>
        <v>470.27027027027026</v>
      </c>
      <c r="L82" s="41">
        <f t="shared" si="49"/>
        <v>470.27027027027026</v>
      </c>
      <c r="M82" s="41">
        <f t="shared" si="49"/>
        <v>470.27027027027026</v>
      </c>
      <c r="N82" s="41">
        <f t="shared" si="49"/>
        <v>470.27027027027026</v>
      </c>
    </row>
    <row r="83" spans="1:14" ht="15.75" customHeight="1" x14ac:dyDescent="0.3">
      <c r="A83" t="s">
        <v>191</v>
      </c>
      <c r="H83" s="29">
        <f t="shared" si="48"/>
        <v>625</v>
      </c>
      <c r="I83" s="29">
        <f t="shared" si="48"/>
        <v>786.76470588235293</v>
      </c>
      <c r="J83" s="29">
        <f t="shared" si="48"/>
        <v>732.32323232323233</v>
      </c>
      <c r="K83" s="41">
        <f t="shared" si="49"/>
        <v>732.32323232323233</v>
      </c>
      <c r="L83" s="41">
        <f t="shared" si="49"/>
        <v>732.32323232323233</v>
      </c>
      <c r="M83" s="41">
        <f t="shared" si="49"/>
        <v>732.32323232323233</v>
      </c>
      <c r="N83" s="41">
        <f t="shared" si="49"/>
        <v>732.32323232323233</v>
      </c>
    </row>
    <row r="84" spans="1:14" ht="15.75" customHeight="1" x14ac:dyDescent="0.3">
      <c r="A84" t="s">
        <v>192</v>
      </c>
      <c r="H84" s="29">
        <f t="shared" si="48"/>
        <v>529.33151432469299</v>
      </c>
      <c r="I84" s="29">
        <f t="shared" si="48"/>
        <v>620.73669849931787</v>
      </c>
      <c r="J84" s="29">
        <f t="shared" si="48"/>
        <v>618.30357142857144</v>
      </c>
      <c r="K84" s="41">
        <f t="shared" si="49"/>
        <v>618.30357142857144</v>
      </c>
      <c r="L84" s="41">
        <f t="shared" si="49"/>
        <v>618.30357142857144</v>
      </c>
      <c r="M84" s="41">
        <f t="shared" si="49"/>
        <v>618.30357142857144</v>
      </c>
      <c r="N84" s="41">
        <f t="shared" si="49"/>
        <v>618.30357142857144</v>
      </c>
    </row>
    <row r="85" spans="1:14" ht="15.75" customHeight="1" x14ac:dyDescent="0.3">
      <c r="A85" t="s">
        <v>193</v>
      </c>
      <c r="H85" s="29">
        <f t="shared" si="48"/>
        <v>2550</v>
      </c>
      <c r="I85" s="29">
        <f t="shared" si="48"/>
        <v>2950</v>
      </c>
      <c r="J85" s="29">
        <f t="shared" si="48"/>
        <v>5476.1904761904761</v>
      </c>
      <c r="K85" s="41">
        <f t="shared" si="49"/>
        <v>5476.1904761904761</v>
      </c>
      <c r="L85" s="41">
        <f t="shared" si="49"/>
        <v>5476.1904761904761</v>
      </c>
      <c r="M85" s="41">
        <f t="shared" si="49"/>
        <v>5476.1904761904761</v>
      </c>
      <c r="N85" s="41">
        <f t="shared" si="49"/>
        <v>5476.1904761904761</v>
      </c>
    </row>
    <row r="86" spans="1:14" ht="15.75" customHeight="1" x14ac:dyDescent="0.3">
      <c r="K86" s="8"/>
      <c r="L86" s="8"/>
      <c r="M86" s="8"/>
      <c r="N86" s="8"/>
    </row>
    <row r="87" spans="1:14" ht="15.75" customHeight="1" x14ac:dyDescent="0.3">
      <c r="K87" s="8"/>
      <c r="L87" s="8"/>
      <c r="M87" s="8"/>
      <c r="N87" s="8"/>
    </row>
    <row r="88" spans="1:14" ht="15.75" customHeight="1" x14ac:dyDescent="0.3">
      <c r="A88" s="35" t="s">
        <v>0</v>
      </c>
      <c r="K88" s="8"/>
      <c r="L88" s="8"/>
      <c r="M88" s="8"/>
      <c r="N88" s="8"/>
    </row>
    <row r="89" spans="1:14" ht="15.75" customHeight="1" x14ac:dyDescent="0.3">
      <c r="A89" t="s">
        <v>179</v>
      </c>
      <c r="H89" s="29">
        <f>H67*H61/10^7</f>
        <v>19263.16</v>
      </c>
      <c r="I89" s="29">
        <f t="shared" ref="I89:J89" si="50">I67*I61/10^7</f>
        <v>25631.11</v>
      </c>
      <c r="J89" s="29">
        <f t="shared" si="50"/>
        <v>36111.75</v>
      </c>
      <c r="K89" s="37">
        <f ca="1">K67*K61/10^7</f>
        <v>47082.069970474717</v>
      </c>
      <c r="L89" s="37">
        <f t="shared" ref="L89:N89" ca="1" si="51">L67*L61/10^7</f>
        <v>60592.285053196094</v>
      </c>
      <c r="M89" s="37">
        <f t="shared" ca="1" si="51"/>
        <v>77167.242545256842</v>
      </c>
      <c r="N89" s="37">
        <f t="shared" ca="1" si="51"/>
        <v>97433.633869147627</v>
      </c>
    </row>
    <row r="90" spans="1:14" ht="15.75" customHeight="1" x14ac:dyDescent="0.3">
      <c r="A90" t="s">
        <v>180</v>
      </c>
      <c r="H90" s="29">
        <f t="shared" ref="H90:N92" si="52">H68*H62/10^7</f>
        <v>1731.52</v>
      </c>
      <c r="I90" s="29">
        <f t="shared" si="52"/>
        <v>2303.92</v>
      </c>
      <c r="J90" s="29">
        <f t="shared" si="52"/>
        <v>3245.9999999999995</v>
      </c>
      <c r="K90" s="37">
        <f t="shared" ca="1" si="52"/>
        <v>4459.4050445828989</v>
      </c>
      <c r="L90" s="37">
        <f t="shared" ca="1" si="52"/>
        <v>6089.3753232109966</v>
      </c>
      <c r="M90" s="37">
        <f t="shared" ca="1" si="52"/>
        <v>8271.8571850460703</v>
      </c>
      <c r="N90" s="37">
        <f t="shared" ca="1" si="52"/>
        <v>11185.696597492873</v>
      </c>
    </row>
    <row r="91" spans="1:14" ht="15.75" customHeight="1" x14ac:dyDescent="0.3">
      <c r="A91" t="s">
        <v>181</v>
      </c>
      <c r="H91" s="29">
        <f t="shared" si="52"/>
        <v>432.88</v>
      </c>
      <c r="I91" s="29">
        <f t="shared" si="52"/>
        <v>575.98000000000013</v>
      </c>
      <c r="J91" s="29">
        <f t="shared" si="52"/>
        <v>811.5</v>
      </c>
      <c r="K91" s="37">
        <f t="shared" ca="1" si="52"/>
        <v>1084.0051517401218</v>
      </c>
      <c r="L91" s="37">
        <f t="shared" ca="1" si="52"/>
        <v>1418.7495373846011</v>
      </c>
      <c r="M91" s="37">
        <f t="shared" ca="1" si="52"/>
        <v>1828.0932860437981</v>
      </c>
      <c r="N91" s="37">
        <f t="shared" ca="1" si="52"/>
        <v>2326.6782627787597</v>
      </c>
    </row>
    <row r="92" spans="1:14" ht="15.75" customHeight="1" x14ac:dyDescent="0.3">
      <c r="A92" t="s">
        <v>182</v>
      </c>
      <c r="H92" s="29">
        <f t="shared" si="52"/>
        <v>216.44</v>
      </c>
      <c r="I92" s="29">
        <f t="shared" si="52"/>
        <v>287.99</v>
      </c>
      <c r="J92" s="29">
        <f t="shared" si="52"/>
        <v>405.75</v>
      </c>
      <c r="K92" s="37">
        <f t="shared" ca="1" si="52"/>
        <v>516.6783190855167</v>
      </c>
      <c r="L92" s="37">
        <f t="shared" ca="1" si="52"/>
        <v>651.7717132382495</v>
      </c>
      <c r="M92" s="37">
        <f t="shared" ca="1" si="52"/>
        <v>815.78621476491173</v>
      </c>
      <c r="N92" s="37">
        <f t="shared" ca="1" si="52"/>
        <v>1014.3613115931362</v>
      </c>
    </row>
    <row r="93" spans="1:14" ht="15.75" customHeight="1" x14ac:dyDescent="0.3">
      <c r="K93" s="43">
        <f ca="1">SUM(K89:K92)</f>
        <v>53142.15848588325</v>
      </c>
      <c r="L93" s="43">
        <f t="shared" ref="L93:N93" ca="1" si="53">SUM(L89:L92)</f>
        <v>68752.181627029946</v>
      </c>
      <c r="M93" s="43">
        <f t="shared" ca="1" si="53"/>
        <v>88082.979231111633</v>
      </c>
      <c r="N93" s="43">
        <f t="shared" ca="1" si="53"/>
        <v>111960.3700410124</v>
      </c>
    </row>
    <row r="94" spans="1:14" ht="15.75" customHeight="1" x14ac:dyDescent="0.3">
      <c r="K94" s="8"/>
      <c r="L94" s="8"/>
      <c r="M94" s="8"/>
      <c r="N94" s="8"/>
    </row>
    <row r="95" spans="1:14" ht="15.75" customHeight="1" x14ac:dyDescent="0.3">
      <c r="K95" s="8"/>
      <c r="L95" s="8"/>
      <c r="M95" s="8"/>
      <c r="N95" s="8"/>
    </row>
    <row r="96" spans="1:14" ht="15.75" customHeight="1" x14ac:dyDescent="0.3">
      <c r="K96" s="8"/>
      <c r="L96" s="8"/>
      <c r="M96" s="8"/>
      <c r="N96" s="8"/>
    </row>
    <row r="97" spans="11:14" ht="15.75" customHeight="1" x14ac:dyDescent="0.3">
      <c r="K97" s="8"/>
      <c r="L97" s="8"/>
      <c r="M97" s="8"/>
      <c r="N97" s="8"/>
    </row>
    <row r="98" spans="11:14" ht="15.75" customHeight="1" x14ac:dyDescent="0.3">
      <c r="K98" s="8"/>
      <c r="L98" s="8"/>
      <c r="M98" s="8"/>
      <c r="N98" s="8"/>
    </row>
    <row r="99" spans="11:14" ht="15.75" customHeight="1" x14ac:dyDescent="0.3">
      <c r="K99" s="8"/>
      <c r="L99" s="8"/>
      <c r="M99" s="8"/>
      <c r="N99" s="8"/>
    </row>
    <row r="100" spans="11:14" ht="15.75" customHeight="1" x14ac:dyDescent="0.3">
      <c r="K100" s="8"/>
      <c r="L100" s="8"/>
      <c r="M100" s="8"/>
      <c r="N100" s="8"/>
    </row>
    <row r="101" spans="11:14" ht="15.75" customHeight="1" x14ac:dyDescent="0.3">
      <c r="K101" s="8"/>
      <c r="L101" s="8"/>
      <c r="M101" s="8"/>
      <c r="N101" s="8"/>
    </row>
    <row r="102" spans="11:14" ht="15.75" customHeight="1" x14ac:dyDescent="0.3">
      <c r="K102" s="8"/>
      <c r="L102" s="8"/>
      <c r="M102" s="8"/>
      <c r="N102" s="8"/>
    </row>
    <row r="103" spans="11:14" ht="15.75" customHeight="1" x14ac:dyDescent="0.3">
      <c r="K103" s="8"/>
      <c r="L103" s="8"/>
      <c r="M103" s="8"/>
      <c r="N103" s="8"/>
    </row>
    <row r="104" spans="11:14" ht="15.75" customHeight="1" x14ac:dyDescent="0.3">
      <c r="K104" s="8"/>
      <c r="L104" s="8"/>
      <c r="M104" s="8"/>
      <c r="N104" s="8"/>
    </row>
    <row r="105" spans="11:14" ht="15.75" customHeight="1" x14ac:dyDescent="0.3">
      <c r="K105" s="8"/>
      <c r="L105" s="8"/>
      <c r="M105" s="8"/>
      <c r="N105" s="8"/>
    </row>
    <row r="106" spans="11:14" ht="15.75" customHeight="1" x14ac:dyDescent="0.3">
      <c r="K106" s="8"/>
      <c r="L106" s="8"/>
      <c r="M106" s="8"/>
      <c r="N106" s="8"/>
    </row>
    <row r="107" spans="11:14" ht="15.75" customHeight="1" x14ac:dyDescent="0.3">
      <c r="K107" s="8"/>
      <c r="L107" s="8"/>
      <c r="M107" s="8"/>
      <c r="N107" s="8"/>
    </row>
    <row r="108" spans="11:14" ht="15.75" customHeight="1" x14ac:dyDescent="0.3">
      <c r="K108" s="8"/>
      <c r="L108" s="8"/>
      <c r="M108" s="8"/>
      <c r="N108" s="8"/>
    </row>
    <row r="109" spans="11:14" ht="15.75" customHeight="1" x14ac:dyDescent="0.3">
      <c r="K109" s="8"/>
      <c r="L109" s="8"/>
      <c r="M109" s="8"/>
      <c r="N109" s="8"/>
    </row>
    <row r="110" spans="11:14" ht="15.75" customHeight="1" x14ac:dyDescent="0.3">
      <c r="K110" s="8"/>
      <c r="L110" s="8"/>
      <c r="M110" s="8"/>
      <c r="N110" s="8"/>
    </row>
    <row r="111" spans="11:14" ht="15.75" customHeight="1" x14ac:dyDescent="0.3">
      <c r="K111" s="8"/>
      <c r="L111" s="8"/>
      <c r="M111" s="8"/>
      <c r="N111" s="8"/>
    </row>
    <row r="112" spans="11:14" ht="15.75" customHeight="1" x14ac:dyDescent="0.3">
      <c r="K112" s="8"/>
      <c r="L112" s="8"/>
      <c r="M112" s="8"/>
      <c r="N112" s="8"/>
    </row>
    <row r="113" spans="11:14" ht="15.75" customHeight="1" x14ac:dyDescent="0.3">
      <c r="K113" s="8"/>
      <c r="L113" s="8"/>
      <c r="M113" s="8"/>
      <c r="N113" s="8"/>
    </row>
    <row r="114" spans="11:14" ht="15.75" customHeight="1" x14ac:dyDescent="0.3">
      <c r="K114" s="8"/>
      <c r="L114" s="8"/>
      <c r="M114" s="8"/>
      <c r="N114" s="8"/>
    </row>
    <row r="115" spans="11:14" ht="15.75" customHeight="1" x14ac:dyDescent="0.3">
      <c r="K115" s="8"/>
      <c r="L115" s="8"/>
      <c r="M115" s="8"/>
      <c r="N115" s="8"/>
    </row>
    <row r="116" spans="11:14" ht="15.75" customHeight="1" x14ac:dyDescent="0.3">
      <c r="K116" s="8"/>
      <c r="L116" s="8"/>
      <c r="M116" s="8"/>
      <c r="N116" s="8"/>
    </row>
    <row r="117" spans="11:14" ht="15.75" customHeight="1" x14ac:dyDescent="0.3">
      <c r="K117" s="8"/>
      <c r="L117" s="8"/>
      <c r="M117" s="8"/>
      <c r="N117" s="8"/>
    </row>
    <row r="118" spans="11:14" ht="15.75" customHeight="1" x14ac:dyDescent="0.3">
      <c r="K118" s="8"/>
      <c r="L118" s="8"/>
      <c r="M118" s="8"/>
      <c r="N118" s="8"/>
    </row>
    <row r="119" spans="11:14" ht="15.75" customHeight="1" x14ac:dyDescent="0.3">
      <c r="K119" s="8"/>
      <c r="L119" s="8"/>
      <c r="M119" s="8"/>
      <c r="N119" s="8"/>
    </row>
    <row r="120" spans="11:14" ht="15.75" customHeight="1" x14ac:dyDescent="0.3">
      <c r="K120" s="8"/>
      <c r="L120" s="8"/>
      <c r="M120" s="8"/>
      <c r="N120" s="8"/>
    </row>
    <row r="121" spans="11:14" ht="15.75" customHeight="1" x14ac:dyDescent="0.3">
      <c r="K121" s="8"/>
      <c r="L121" s="8"/>
      <c r="M121" s="8"/>
      <c r="N121" s="8"/>
    </row>
    <row r="122" spans="11:14" ht="15.75" customHeight="1" x14ac:dyDescent="0.3">
      <c r="K122" s="8"/>
      <c r="L122" s="8"/>
      <c r="M122" s="8"/>
      <c r="N122" s="8"/>
    </row>
    <row r="123" spans="11:14" ht="15.75" customHeight="1" x14ac:dyDescent="0.3">
      <c r="K123" s="8"/>
      <c r="L123" s="8"/>
      <c r="M123" s="8"/>
      <c r="N123" s="8"/>
    </row>
    <row r="124" spans="11:14" ht="15.75" customHeight="1" x14ac:dyDescent="0.3">
      <c r="K124" s="8"/>
      <c r="L124" s="8"/>
      <c r="M124" s="8"/>
      <c r="N124" s="8"/>
    </row>
    <row r="125" spans="11:14" ht="15.75" customHeight="1" x14ac:dyDescent="0.3">
      <c r="K125" s="8"/>
      <c r="L125" s="8"/>
      <c r="M125" s="8"/>
      <c r="N125" s="8"/>
    </row>
    <row r="126" spans="11:14" ht="15.75" customHeight="1" x14ac:dyDescent="0.3">
      <c r="K126" s="8"/>
      <c r="L126" s="8"/>
      <c r="M126" s="8"/>
      <c r="N126" s="8"/>
    </row>
    <row r="127" spans="11:14" ht="15.75" customHeight="1" x14ac:dyDescent="0.3">
      <c r="K127" s="8"/>
      <c r="L127" s="8"/>
      <c r="M127" s="8"/>
      <c r="N127" s="8"/>
    </row>
    <row r="128" spans="11:14" ht="15.75" customHeight="1" x14ac:dyDescent="0.3">
      <c r="K128" s="8"/>
      <c r="L128" s="8"/>
      <c r="M128" s="8"/>
      <c r="N128" s="8"/>
    </row>
    <row r="129" spans="11:14" ht="15.75" customHeight="1" x14ac:dyDescent="0.3">
      <c r="K129" s="8"/>
      <c r="L129" s="8"/>
      <c r="M129" s="8"/>
      <c r="N129" s="8"/>
    </row>
    <row r="130" spans="11:14" ht="15.75" customHeight="1" x14ac:dyDescent="0.3">
      <c r="K130" s="8"/>
      <c r="L130" s="8"/>
      <c r="M130" s="8"/>
      <c r="N130" s="8"/>
    </row>
    <row r="131" spans="11:14" ht="15.75" customHeight="1" x14ac:dyDescent="0.3">
      <c r="K131" s="8"/>
      <c r="L131" s="8"/>
      <c r="M131" s="8"/>
      <c r="N131" s="8"/>
    </row>
    <row r="132" spans="11:14" ht="15.75" customHeight="1" x14ac:dyDescent="0.3">
      <c r="K132" s="8"/>
      <c r="L132" s="8"/>
      <c r="M132" s="8"/>
      <c r="N132" s="8"/>
    </row>
    <row r="133" spans="11:14" ht="15.75" customHeight="1" x14ac:dyDescent="0.3">
      <c r="K133" s="8"/>
      <c r="L133" s="8"/>
      <c r="M133" s="8"/>
      <c r="N133" s="8"/>
    </row>
    <row r="134" spans="11:14" ht="15.75" customHeight="1" x14ac:dyDescent="0.3">
      <c r="K134" s="8"/>
      <c r="L134" s="8"/>
      <c r="M134" s="8"/>
      <c r="N134" s="8"/>
    </row>
    <row r="135" spans="11:14" ht="15.75" customHeight="1" x14ac:dyDescent="0.3">
      <c r="K135" s="8"/>
      <c r="L135" s="8"/>
      <c r="M135" s="8"/>
      <c r="N135" s="8"/>
    </row>
    <row r="136" spans="11:14" ht="15.75" customHeight="1" x14ac:dyDescent="0.3">
      <c r="K136" s="8"/>
      <c r="L136" s="8"/>
      <c r="M136" s="8"/>
      <c r="N136" s="8"/>
    </row>
    <row r="137" spans="11:14" ht="15.75" customHeight="1" x14ac:dyDescent="0.3">
      <c r="K137" s="8"/>
      <c r="L137" s="8"/>
      <c r="M137" s="8"/>
      <c r="N137" s="8"/>
    </row>
    <row r="138" spans="11:14" ht="15.75" customHeight="1" x14ac:dyDescent="0.3">
      <c r="K138" s="8"/>
      <c r="L138" s="8"/>
      <c r="M138" s="8"/>
      <c r="N138" s="8"/>
    </row>
    <row r="139" spans="11:14" ht="15.75" customHeight="1" x14ac:dyDescent="0.3">
      <c r="K139" s="8"/>
      <c r="L139" s="8"/>
      <c r="M139" s="8"/>
      <c r="N139" s="8"/>
    </row>
    <row r="140" spans="11:14" ht="15.75" customHeight="1" x14ac:dyDescent="0.3">
      <c r="K140" s="8"/>
      <c r="L140" s="8"/>
      <c r="M140" s="8"/>
      <c r="N140" s="8"/>
    </row>
    <row r="141" spans="11:14" ht="15.75" customHeight="1" x14ac:dyDescent="0.3">
      <c r="K141" s="8"/>
      <c r="L141" s="8"/>
      <c r="M141" s="8"/>
      <c r="N141" s="8"/>
    </row>
    <row r="142" spans="11:14" ht="15.75" customHeight="1" x14ac:dyDescent="0.3">
      <c r="K142" s="8"/>
      <c r="L142" s="8"/>
      <c r="M142" s="8"/>
      <c r="N142" s="8"/>
    </row>
    <row r="143" spans="11:14" ht="15.75" customHeight="1" x14ac:dyDescent="0.3">
      <c r="K143" s="8"/>
      <c r="L143" s="8"/>
      <c r="M143" s="8"/>
      <c r="N143" s="8"/>
    </row>
    <row r="144" spans="11:14" ht="15.75" customHeight="1" x14ac:dyDescent="0.3">
      <c r="K144" s="8"/>
      <c r="L144" s="8"/>
      <c r="M144" s="8"/>
      <c r="N144" s="8"/>
    </row>
    <row r="145" spans="11:14" ht="15.75" customHeight="1" x14ac:dyDescent="0.3">
      <c r="K145" s="8"/>
      <c r="L145" s="8"/>
      <c r="M145" s="8"/>
      <c r="N145" s="8"/>
    </row>
    <row r="146" spans="11:14" ht="15.75" customHeight="1" x14ac:dyDescent="0.3">
      <c r="K146" s="8"/>
      <c r="L146" s="8"/>
      <c r="M146" s="8"/>
      <c r="N146" s="8"/>
    </row>
    <row r="147" spans="11:14" ht="15.75" customHeight="1" x14ac:dyDescent="0.3">
      <c r="K147" s="8"/>
      <c r="L147" s="8"/>
      <c r="M147" s="8"/>
      <c r="N147" s="8"/>
    </row>
    <row r="148" spans="11:14" ht="15.75" customHeight="1" x14ac:dyDescent="0.3">
      <c r="K148" s="8"/>
      <c r="L148" s="8"/>
      <c r="M148" s="8"/>
      <c r="N148" s="8"/>
    </row>
    <row r="149" spans="11:14" ht="15.75" customHeight="1" x14ac:dyDescent="0.3">
      <c r="K149" s="8"/>
      <c r="L149" s="8"/>
      <c r="M149" s="8"/>
      <c r="N149" s="8"/>
    </row>
    <row r="150" spans="11:14" ht="15.75" customHeight="1" x14ac:dyDescent="0.3">
      <c r="K150" s="8"/>
      <c r="L150" s="8"/>
      <c r="M150" s="8"/>
      <c r="N150" s="8"/>
    </row>
    <row r="151" spans="11:14" ht="15.75" customHeight="1" x14ac:dyDescent="0.3">
      <c r="K151" s="8"/>
      <c r="L151" s="8"/>
      <c r="M151" s="8"/>
      <c r="N151" s="8"/>
    </row>
    <row r="152" spans="11:14" ht="15.75" customHeight="1" x14ac:dyDescent="0.3">
      <c r="K152" s="8"/>
      <c r="L152" s="8"/>
      <c r="M152" s="8"/>
      <c r="N152" s="8"/>
    </row>
    <row r="153" spans="11:14" ht="15.75" customHeight="1" x14ac:dyDescent="0.3">
      <c r="K153" s="8"/>
      <c r="L153" s="8"/>
      <c r="M153" s="8"/>
      <c r="N153" s="8"/>
    </row>
    <row r="154" spans="11:14" ht="15.75" customHeight="1" x14ac:dyDescent="0.3">
      <c r="K154" s="8"/>
      <c r="L154" s="8"/>
      <c r="M154" s="8"/>
      <c r="N154" s="8"/>
    </row>
    <row r="155" spans="11:14" ht="15.75" customHeight="1" x14ac:dyDescent="0.3">
      <c r="K155" s="8"/>
      <c r="L155" s="8"/>
      <c r="M155" s="8"/>
      <c r="N155" s="8"/>
    </row>
    <row r="156" spans="11:14" ht="15.75" customHeight="1" x14ac:dyDescent="0.3">
      <c r="K156" s="8"/>
      <c r="L156" s="8"/>
      <c r="M156" s="8"/>
      <c r="N156" s="8"/>
    </row>
    <row r="157" spans="11:14" ht="15.75" customHeight="1" x14ac:dyDescent="0.3">
      <c r="K157" s="8"/>
      <c r="L157" s="8"/>
      <c r="M157" s="8"/>
      <c r="N157" s="8"/>
    </row>
    <row r="158" spans="11:14" ht="15.75" customHeight="1" x14ac:dyDescent="0.3">
      <c r="K158" s="8"/>
      <c r="L158" s="8"/>
      <c r="M158" s="8"/>
      <c r="N158" s="8"/>
    </row>
    <row r="159" spans="11:14" ht="15.75" customHeight="1" x14ac:dyDescent="0.3">
      <c r="K159" s="8"/>
      <c r="L159" s="8"/>
      <c r="M159" s="8"/>
      <c r="N159" s="8"/>
    </row>
    <row r="160" spans="11:14" ht="15.75" customHeight="1" x14ac:dyDescent="0.3">
      <c r="K160" s="8"/>
      <c r="L160" s="8"/>
      <c r="M160" s="8"/>
      <c r="N160" s="8"/>
    </row>
    <row r="161" spans="11:14" ht="15.75" customHeight="1" x14ac:dyDescent="0.3">
      <c r="K161" s="8"/>
      <c r="L161" s="8"/>
      <c r="M161" s="8"/>
      <c r="N161" s="8"/>
    </row>
    <row r="162" spans="11:14" ht="15.75" customHeight="1" x14ac:dyDescent="0.3">
      <c r="K162" s="8"/>
      <c r="L162" s="8"/>
      <c r="M162" s="8"/>
      <c r="N162" s="8"/>
    </row>
    <row r="163" spans="11:14" ht="15.75" customHeight="1" x14ac:dyDescent="0.3">
      <c r="K163" s="8"/>
      <c r="L163" s="8"/>
      <c r="M163" s="8"/>
      <c r="N163" s="8"/>
    </row>
    <row r="164" spans="11:14" ht="15.75" customHeight="1" x14ac:dyDescent="0.3">
      <c r="K164" s="8"/>
      <c r="L164" s="8"/>
      <c r="M164" s="8"/>
      <c r="N164" s="8"/>
    </row>
    <row r="165" spans="11:14" ht="15.75" customHeight="1" x14ac:dyDescent="0.3">
      <c r="K165" s="8"/>
      <c r="L165" s="8"/>
      <c r="M165" s="8"/>
      <c r="N165" s="8"/>
    </row>
    <row r="166" spans="11:14" ht="15.75" customHeight="1" x14ac:dyDescent="0.3">
      <c r="K166" s="8"/>
      <c r="L166" s="8"/>
      <c r="M166" s="8"/>
      <c r="N166" s="8"/>
    </row>
    <row r="167" spans="11:14" ht="15.75" customHeight="1" x14ac:dyDescent="0.3">
      <c r="K167" s="8"/>
      <c r="L167" s="8"/>
      <c r="M167" s="8"/>
      <c r="N167" s="8"/>
    </row>
    <row r="168" spans="11:14" ht="15.75" customHeight="1" x14ac:dyDescent="0.3">
      <c r="K168" s="8"/>
      <c r="L168" s="8"/>
      <c r="M168" s="8"/>
      <c r="N168" s="8"/>
    </row>
    <row r="169" spans="11:14" ht="15.75" customHeight="1" x14ac:dyDescent="0.3">
      <c r="K169" s="8"/>
      <c r="L169" s="8"/>
      <c r="M169" s="8"/>
      <c r="N169" s="8"/>
    </row>
    <row r="170" spans="11:14" ht="15.75" customHeight="1" x14ac:dyDescent="0.3">
      <c r="K170" s="8"/>
      <c r="L170" s="8"/>
      <c r="M170" s="8"/>
      <c r="N170" s="8"/>
    </row>
    <row r="171" spans="11:14" ht="15.75" customHeight="1" x14ac:dyDescent="0.3">
      <c r="K171" s="8"/>
      <c r="L171" s="8"/>
      <c r="M171" s="8"/>
      <c r="N171" s="8"/>
    </row>
    <row r="172" spans="11:14" ht="15.75" customHeight="1" x14ac:dyDescent="0.3">
      <c r="K172" s="8"/>
      <c r="L172" s="8"/>
      <c r="M172" s="8"/>
      <c r="N172" s="8"/>
    </row>
    <row r="173" spans="11:14" ht="15.75" customHeight="1" x14ac:dyDescent="0.3">
      <c r="K173" s="8"/>
      <c r="L173" s="8"/>
      <c r="M173" s="8"/>
      <c r="N173" s="8"/>
    </row>
    <row r="174" spans="11:14" ht="15.75" customHeight="1" x14ac:dyDescent="0.3">
      <c r="K174" s="8"/>
      <c r="L174" s="8"/>
      <c r="M174" s="8"/>
      <c r="N174" s="8"/>
    </row>
    <row r="175" spans="11:14" ht="15.75" customHeight="1" x14ac:dyDescent="0.3">
      <c r="K175" s="8"/>
      <c r="L175" s="8"/>
      <c r="M175" s="8"/>
      <c r="N175" s="8"/>
    </row>
    <row r="176" spans="11:14" ht="15.75" customHeight="1" x14ac:dyDescent="0.3">
      <c r="K176" s="8"/>
      <c r="L176" s="8"/>
      <c r="M176" s="8"/>
      <c r="N176" s="8"/>
    </row>
    <row r="177" spans="11:14" ht="15.75" customHeight="1" x14ac:dyDescent="0.3">
      <c r="K177" s="8"/>
      <c r="L177" s="8"/>
      <c r="M177" s="8"/>
      <c r="N177" s="8"/>
    </row>
    <row r="178" spans="11:14" ht="15.75" customHeight="1" x14ac:dyDescent="0.3">
      <c r="K178" s="8"/>
      <c r="L178" s="8"/>
      <c r="M178" s="8"/>
      <c r="N178" s="8"/>
    </row>
    <row r="179" spans="11:14" ht="15.75" customHeight="1" x14ac:dyDescent="0.3">
      <c r="K179" s="8"/>
      <c r="L179" s="8"/>
      <c r="M179" s="8"/>
      <c r="N179" s="8"/>
    </row>
    <row r="180" spans="11:14" ht="15.75" customHeight="1" x14ac:dyDescent="0.3">
      <c r="K180" s="8"/>
      <c r="L180" s="8"/>
      <c r="M180" s="8"/>
      <c r="N180" s="8"/>
    </row>
    <row r="181" spans="11:14" ht="15.75" customHeight="1" x14ac:dyDescent="0.3">
      <c r="K181" s="8"/>
      <c r="L181" s="8"/>
      <c r="M181" s="8"/>
      <c r="N181" s="8"/>
    </row>
    <row r="182" spans="11:14" ht="15.75" customHeight="1" x14ac:dyDescent="0.3">
      <c r="K182" s="8"/>
      <c r="L182" s="8"/>
      <c r="M182" s="8"/>
      <c r="N182" s="8"/>
    </row>
    <row r="183" spans="11:14" ht="15.75" customHeight="1" x14ac:dyDescent="0.3">
      <c r="K183" s="8"/>
      <c r="L183" s="8"/>
      <c r="M183" s="8"/>
      <c r="N183" s="8"/>
    </row>
    <row r="184" spans="11:14" ht="15.75" customHeight="1" x14ac:dyDescent="0.3">
      <c r="K184" s="8"/>
      <c r="L184" s="8"/>
      <c r="M184" s="8"/>
      <c r="N184" s="8"/>
    </row>
    <row r="185" spans="11:14" ht="15.75" customHeight="1" x14ac:dyDescent="0.3">
      <c r="K185" s="8"/>
      <c r="L185" s="8"/>
      <c r="M185" s="8"/>
      <c r="N185" s="8"/>
    </row>
    <row r="186" spans="11:14" ht="15.75" customHeight="1" x14ac:dyDescent="0.3">
      <c r="K186" s="8"/>
      <c r="L186" s="8"/>
      <c r="M186" s="8"/>
      <c r="N186" s="8"/>
    </row>
    <row r="187" spans="11:14" ht="15.75" customHeight="1" x14ac:dyDescent="0.3">
      <c r="K187" s="8"/>
      <c r="L187" s="8"/>
      <c r="M187" s="8"/>
      <c r="N187" s="8"/>
    </row>
    <row r="188" spans="11:14" ht="15.75" customHeight="1" x14ac:dyDescent="0.3">
      <c r="K188" s="8"/>
      <c r="L188" s="8"/>
      <c r="M188" s="8"/>
      <c r="N188" s="8"/>
    </row>
    <row r="189" spans="11:14" ht="15.75" customHeight="1" x14ac:dyDescent="0.3">
      <c r="K189" s="8"/>
      <c r="L189" s="8"/>
      <c r="M189" s="8"/>
      <c r="N189" s="8"/>
    </row>
    <row r="190" spans="11:14" ht="15.75" customHeight="1" x14ac:dyDescent="0.3">
      <c r="K190" s="8"/>
      <c r="L190" s="8"/>
      <c r="M190" s="8"/>
      <c r="N190" s="8"/>
    </row>
    <row r="191" spans="11:14" ht="15.75" customHeight="1" x14ac:dyDescent="0.3">
      <c r="K191" s="8"/>
      <c r="L191" s="8"/>
      <c r="M191" s="8"/>
      <c r="N191" s="8"/>
    </row>
    <row r="192" spans="11:14" ht="15.75" customHeight="1" x14ac:dyDescent="0.3">
      <c r="K192" s="8"/>
      <c r="L192" s="8"/>
      <c r="M192" s="8"/>
      <c r="N192" s="8"/>
    </row>
    <row r="193" spans="11:14" ht="15.75" customHeight="1" x14ac:dyDescent="0.3">
      <c r="K193" s="8"/>
      <c r="L193" s="8"/>
      <c r="M193" s="8"/>
      <c r="N193" s="8"/>
    </row>
    <row r="194" spans="11:14" ht="15.75" customHeight="1" x14ac:dyDescent="0.3">
      <c r="K194" s="8"/>
      <c r="L194" s="8"/>
      <c r="M194" s="8"/>
      <c r="N194" s="8"/>
    </row>
    <row r="195" spans="11:14" ht="15.75" customHeight="1" x14ac:dyDescent="0.3">
      <c r="K195" s="8"/>
      <c r="L195" s="8"/>
      <c r="M195" s="8"/>
      <c r="N195" s="8"/>
    </row>
    <row r="196" spans="11:14" ht="15.75" customHeight="1" x14ac:dyDescent="0.3">
      <c r="K196" s="8"/>
      <c r="L196" s="8"/>
      <c r="M196" s="8"/>
      <c r="N196" s="8"/>
    </row>
    <row r="197" spans="11:14" ht="15.75" customHeight="1" x14ac:dyDescent="0.3">
      <c r="K197" s="8"/>
      <c r="L197" s="8"/>
      <c r="M197" s="8"/>
      <c r="N197" s="8"/>
    </row>
    <row r="198" spans="11:14" ht="15.75" customHeight="1" x14ac:dyDescent="0.3">
      <c r="K198" s="8"/>
      <c r="L198" s="8"/>
      <c r="M198" s="8"/>
      <c r="N198" s="8"/>
    </row>
    <row r="199" spans="11:14" ht="15.75" customHeight="1" x14ac:dyDescent="0.3">
      <c r="K199" s="8"/>
      <c r="L199" s="8"/>
      <c r="M199" s="8"/>
      <c r="N199" s="8"/>
    </row>
    <row r="200" spans="11:14" ht="15.75" customHeight="1" x14ac:dyDescent="0.3">
      <c r="K200" s="8"/>
      <c r="L200" s="8"/>
      <c r="M200" s="8"/>
      <c r="N200" s="8"/>
    </row>
    <row r="201" spans="11:14" ht="15.75" customHeight="1" x14ac:dyDescent="0.3">
      <c r="K201" s="8"/>
      <c r="L201" s="8"/>
      <c r="M201" s="8"/>
      <c r="N201" s="8"/>
    </row>
    <row r="202" spans="11:14" ht="15.75" customHeight="1" x14ac:dyDescent="0.3">
      <c r="K202" s="8"/>
      <c r="L202" s="8"/>
      <c r="M202" s="8"/>
      <c r="N202" s="8"/>
    </row>
    <row r="203" spans="11:14" ht="15.75" customHeight="1" x14ac:dyDescent="0.3">
      <c r="K203" s="8"/>
      <c r="L203" s="8"/>
      <c r="M203" s="8"/>
      <c r="N203" s="8"/>
    </row>
    <row r="204" spans="11:14" ht="15.75" customHeight="1" x14ac:dyDescent="0.3">
      <c r="K204" s="8"/>
      <c r="L204" s="8"/>
      <c r="M204" s="8"/>
      <c r="N204" s="8"/>
    </row>
    <row r="205" spans="11:14" ht="15.75" customHeight="1" x14ac:dyDescent="0.3">
      <c r="K205" s="8"/>
      <c r="L205" s="8"/>
      <c r="M205" s="8"/>
      <c r="N205" s="8"/>
    </row>
    <row r="206" spans="11:14" ht="15.75" customHeight="1" x14ac:dyDescent="0.3">
      <c r="K206" s="8"/>
      <c r="L206" s="8"/>
      <c r="M206" s="8"/>
      <c r="N206" s="8"/>
    </row>
    <row r="207" spans="11:14" ht="15.75" customHeight="1" x14ac:dyDescent="0.3">
      <c r="K207" s="8"/>
      <c r="L207" s="8"/>
      <c r="M207" s="8"/>
      <c r="N207" s="8"/>
    </row>
    <row r="208" spans="11:14" ht="15.75" customHeight="1" x14ac:dyDescent="0.3">
      <c r="K208" s="8"/>
      <c r="L208" s="8"/>
      <c r="M208" s="8"/>
      <c r="N208" s="8"/>
    </row>
    <row r="209" spans="11:14" ht="15.75" customHeight="1" x14ac:dyDescent="0.3">
      <c r="K209" s="8"/>
      <c r="L209" s="8"/>
      <c r="M209" s="8"/>
      <c r="N209" s="8"/>
    </row>
    <row r="210" spans="11:14" ht="15.75" customHeight="1" x14ac:dyDescent="0.3">
      <c r="K210" s="8"/>
      <c r="L210" s="8"/>
      <c r="M210" s="8"/>
      <c r="N210" s="8"/>
    </row>
    <row r="211" spans="11:14" ht="15.75" customHeight="1" x14ac:dyDescent="0.3">
      <c r="K211" s="8"/>
      <c r="L211" s="8"/>
      <c r="M211" s="8"/>
      <c r="N211" s="8"/>
    </row>
    <row r="212" spans="11:14" ht="15.75" customHeight="1" x14ac:dyDescent="0.3">
      <c r="K212" s="8"/>
      <c r="L212" s="8"/>
      <c r="M212" s="8"/>
      <c r="N212" s="8"/>
    </row>
    <row r="213" spans="11:14" ht="15.75" customHeight="1" x14ac:dyDescent="0.3">
      <c r="K213" s="8"/>
      <c r="L213" s="8"/>
      <c r="M213" s="8"/>
      <c r="N213" s="8"/>
    </row>
    <row r="214" spans="11:14" ht="15.75" customHeight="1" x14ac:dyDescent="0.3">
      <c r="K214" s="8"/>
      <c r="L214" s="8"/>
      <c r="M214" s="8"/>
      <c r="N214" s="8"/>
    </row>
    <row r="215" spans="11:14" ht="15.75" customHeight="1" x14ac:dyDescent="0.3">
      <c r="K215" s="8"/>
      <c r="L215" s="8"/>
      <c r="M215" s="8"/>
      <c r="N215" s="8"/>
    </row>
    <row r="216" spans="11:14" ht="15.75" customHeight="1" x14ac:dyDescent="0.3">
      <c r="K216" s="8"/>
      <c r="L216" s="8"/>
      <c r="M216" s="8"/>
      <c r="N216" s="8"/>
    </row>
    <row r="217" spans="11:14" ht="15.75" customHeight="1" x14ac:dyDescent="0.3">
      <c r="K217" s="8"/>
      <c r="L217" s="8"/>
      <c r="M217" s="8"/>
      <c r="N217" s="8"/>
    </row>
    <row r="218" spans="11:14" ht="15.75" customHeight="1" x14ac:dyDescent="0.3">
      <c r="K218" s="8"/>
      <c r="L218" s="8"/>
      <c r="M218" s="8"/>
      <c r="N218" s="8"/>
    </row>
    <row r="219" spans="11:14" ht="15.75" customHeight="1" x14ac:dyDescent="0.3">
      <c r="K219" s="8"/>
      <c r="L219" s="8"/>
      <c r="M219" s="8"/>
      <c r="N219" s="8"/>
    </row>
    <row r="220" spans="11:14" ht="15.75" customHeight="1" x14ac:dyDescent="0.3">
      <c r="K220" s="8"/>
      <c r="L220" s="8"/>
      <c r="M220" s="8"/>
      <c r="N220" s="8"/>
    </row>
    <row r="221" spans="11:14" ht="15.75" customHeight="1" x14ac:dyDescent="0.3">
      <c r="K221" s="8"/>
      <c r="L221" s="8"/>
      <c r="M221" s="8"/>
      <c r="N221" s="8"/>
    </row>
    <row r="222" spans="11:14" ht="15.75" customHeight="1" x14ac:dyDescent="0.3">
      <c r="K222" s="8"/>
      <c r="L222" s="8"/>
      <c r="M222" s="8"/>
      <c r="N222" s="8"/>
    </row>
    <row r="223" spans="11:14" ht="15.75" customHeight="1" x14ac:dyDescent="0.3">
      <c r="K223" s="8"/>
      <c r="L223" s="8"/>
      <c r="M223" s="8"/>
      <c r="N223" s="8"/>
    </row>
    <row r="224" spans="11:14" ht="15.75" customHeight="1" x14ac:dyDescent="0.3">
      <c r="K224" s="8"/>
      <c r="L224" s="8"/>
      <c r="M224" s="8"/>
      <c r="N224" s="8"/>
    </row>
    <row r="225" spans="11:14" ht="15.75" customHeight="1" x14ac:dyDescent="0.3">
      <c r="K225" s="8"/>
      <c r="L225" s="8"/>
      <c r="M225" s="8"/>
      <c r="N225" s="8"/>
    </row>
    <row r="226" spans="11:14" ht="15.75" customHeight="1" x14ac:dyDescent="0.3">
      <c r="K226" s="8"/>
      <c r="L226" s="8"/>
      <c r="M226" s="8"/>
      <c r="N226" s="8"/>
    </row>
    <row r="227" spans="11:14" ht="15.75" customHeight="1" x14ac:dyDescent="0.3">
      <c r="K227" s="8"/>
      <c r="L227" s="8"/>
      <c r="M227" s="8"/>
      <c r="N227" s="8"/>
    </row>
    <row r="228" spans="11:14" ht="15.75" customHeight="1" x14ac:dyDescent="0.3">
      <c r="K228" s="8"/>
      <c r="L228" s="8"/>
      <c r="M228" s="8"/>
      <c r="N228" s="8"/>
    </row>
    <row r="229" spans="11:14" ht="15.75" customHeight="1" x14ac:dyDescent="0.3">
      <c r="K229" s="8"/>
      <c r="L229" s="8"/>
      <c r="M229" s="8"/>
      <c r="N229" s="8"/>
    </row>
    <row r="230" spans="11:14" ht="15.75" customHeight="1" x14ac:dyDescent="0.3">
      <c r="K230" s="8"/>
      <c r="L230" s="8"/>
      <c r="M230" s="8"/>
      <c r="N230" s="8"/>
    </row>
    <row r="231" spans="11:14" ht="15.75" customHeight="1" x14ac:dyDescent="0.3">
      <c r="K231" s="8"/>
      <c r="L231" s="8"/>
      <c r="M231" s="8"/>
      <c r="N231" s="8"/>
    </row>
    <row r="232" spans="11:14" ht="15.75" customHeight="1" x14ac:dyDescent="0.3">
      <c r="K232" s="8"/>
      <c r="L232" s="8"/>
      <c r="M232" s="8"/>
      <c r="N232" s="8"/>
    </row>
    <row r="233" spans="11:14" ht="15.75" customHeight="1" x14ac:dyDescent="0.3">
      <c r="K233" s="8"/>
      <c r="L233" s="8"/>
      <c r="M233" s="8"/>
      <c r="N233" s="8"/>
    </row>
    <row r="234" spans="11:14" ht="15.75" customHeight="1" x14ac:dyDescent="0.3">
      <c r="K234" s="8"/>
      <c r="L234" s="8"/>
      <c r="M234" s="8"/>
      <c r="N234" s="8"/>
    </row>
    <row r="235" spans="11:14" ht="15.75" customHeight="1" x14ac:dyDescent="0.3">
      <c r="K235" s="8"/>
      <c r="L235" s="8"/>
      <c r="M235" s="8"/>
      <c r="N235" s="8"/>
    </row>
    <row r="236" spans="11:14" ht="15.75" customHeight="1" x14ac:dyDescent="0.3">
      <c r="K236" s="8"/>
      <c r="L236" s="8"/>
      <c r="M236" s="8"/>
      <c r="N236" s="8"/>
    </row>
    <row r="237" spans="11:14" ht="15.75" customHeight="1" x14ac:dyDescent="0.3">
      <c r="K237" s="8"/>
      <c r="L237" s="8"/>
      <c r="M237" s="8"/>
      <c r="N237" s="8"/>
    </row>
    <row r="238" spans="11:14" ht="15.75" customHeight="1" x14ac:dyDescent="0.3">
      <c r="K238" s="8"/>
      <c r="L238" s="8"/>
      <c r="M238" s="8"/>
      <c r="N238" s="8"/>
    </row>
    <row r="239" spans="11:14" ht="15.75" customHeight="1" x14ac:dyDescent="0.3">
      <c r="K239" s="8"/>
      <c r="L239" s="8"/>
      <c r="M239" s="8"/>
      <c r="N239" s="8"/>
    </row>
    <row r="240" spans="11:14" ht="15.75" customHeight="1" x14ac:dyDescent="0.3">
      <c r="K240" s="8"/>
      <c r="L240" s="8"/>
      <c r="M240" s="8"/>
      <c r="N240" s="8"/>
    </row>
    <row r="241" spans="11:14" ht="15.75" customHeight="1" x14ac:dyDescent="0.3">
      <c r="K241" s="8"/>
      <c r="L241" s="8"/>
      <c r="M241" s="8"/>
      <c r="N241" s="8"/>
    </row>
    <row r="242" spans="11:14" ht="15.75" customHeight="1" x14ac:dyDescent="0.3">
      <c r="K242" s="8"/>
      <c r="L242" s="8"/>
      <c r="M242" s="8"/>
      <c r="N242" s="8"/>
    </row>
    <row r="243" spans="11:14" ht="15.75" customHeight="1" x14ac:dyDescent="0.3">
      <c r="K243" s="8"/>
      <c r="L243" s="8"/>
      <c r="M243" s="8"/>
      <c r="N243" s="8"/>
    </row>
    <row r="244" spans="11:14" ht="15.75" customHeight="1" x14ac:dyDescent="0.3">
      <c r="K244" s="8"/>
      <c r="L244" s="8"/>
      <c r="M244" s="8"/>
      <c r="N244" s="8"/>
    </row>
    <row r="245" spans="11:14" ht="15.75" customHeight="1" x14ac:dyDescent="0.3">
      <c r="K245" s="8"/>
      <c r="L245" s="8"/>
      <c r="M245" s="8"/>
      <c r="N245" s="8"/>
    </row>
    <row r="246" spans="11:14" ht="15.75" customHeight="1" x14ac:dyDescent="0.3">
      <c r="K246" s="8"/>
      <c r="L246" s="8"/>
      <c r="M246" s="8"/>
      <c r="N246" s="8"/>
    </row>
    <row r="247" spans="11:14" ht="15.75" customHeight="1" x14ac:dyDescent="0.3">
      <c r="K247" s="8"/>
      <c r="L247" s="8"/>
      <c r="M247" s="8"/>
      <c r="N247" s="8"/>
    </row>
    <row r="248" spans="11:14" ht="15.75" customHeight="1" x14ac:dyDescent="0.3">
      <c r="K248" s="8"/>
      <c r="L248" s="8"/>
      <c r="M248" s="8"/>
      <c r="N248" s="8"/>
    </row>
    <row r="249" spans="11:14" ht="15.75" customHeight="1" x14ac:dyDescent="0.3">
      <c r="K249" s="8"/>
      <c r="L249" s="8"/>
      <c r="M249" s="8"/>
      <c r="N249" s="8"/>
    </row>
    <row r="250" spans="11:14" ht="15.75" customHeight="1" x14ac:dyDescent="0.3">
      <c r="K250" s="8"/>
      <c r="L250" s="8"/>
      <c r="M250" s="8"/>
      <c r="N250" s="8"/>
    </row>
    <row r="251" spans="11:14" ht="15.75" customHeight="1" x14ac:dyDescent="0.3">
      <c r="K251" s="8"/>
      <c r="L251" s="8"/>
      <c r="M251" s="8"/>
      <c r="N251" s="8"/>
    </row>
    <row r="252" spans="11:14" ht="15.75" customHeight="1" x14ac:dyDescent="0.3">
      <c r="K252" s="8"/>
      <c r="L252" s="8"/>
      <c r="M252" s="8"/>
      <c r="N252" s="8"/>
    </row>
    <row r="253" spans="11:14" ht="15.75" customHeight="1" x14ac:dyDescent="0.3">
      <c r="K253" s="8"/>
      <c r="L253" s="8"/>
      <c r="M253" s="8"/>
      <c r="N253" s="8"/>
    </row>
    <row r="254" spans="11:14" ht="15.75" customHeight="1" x14ac:dyDescent="0.3">
      <c r="K254" s="8"/>
      <c r="L254" s="8"/>
      <c r="M254" s="8"/>
      <c r="N254" s="8"/>
    </row>
    <row r="255" spans="11:14" ht="15.75" customHeight="1" x14ac:dyDescent="0.3">
      <c r="K255" s="8"/>
      <c r="L255" s="8"/>
      <c r="M255" s="8"/>
      <c r="N255" s="8"/>
    </row>
    <row r="256" spans="11:14" ht="15.75" customHeight="1" x14ac:dyDescent="0.3">
      <c r="K256" s="8"/>
      <c r="L256" s="8"/>
      <c r="M256" s="8"/>
      <c r="N256" s="8"/>
    </row>
    <row r="257" spans="11:14" ht="15.75" customHeight="1" x14ac:dyDescent="0.3">
      <c r="K257" s="8"/>
      <c r="L257" s="8"/>
      <c r="M257" s="8"/>
      <c r="N257" s="8"/>
    </row>
    <row r="258" spans="11:14" ht="15.75" customHeight="1" x14ac:dyDescent="0.3">
      <c r="K258" s="8"/>
      <c r="L258" s="8"/>
      <c r="M258" s="8"/>
      <c r="N258" s="8"/>
    </row>
    <row r="259" spans="11:14" ht="15.75" customHeight="1" x14ac:dyDescent="0.3">
      <c r="K259" s="8"/>
      <c r="L259" s="8"/>
      <c r="M259" s="8"/>
      <c r="N259" s="8"/>
    </row>
    <row r="260" spans="11:14" ht="15.75" customHeight="1" x14ac:dyDescent="0.3">
      <c r="K260" s="8"/>
      <c r="L260" s="8"/>
      <c r="M260" s="8"/>
      <c r="N260" s="8"/>
    </row>
    <row r="261" spans="11:14" ht="15.75" customHeight="1" x14ac:dyDescent="0.3">
      <c r="K261" s="8"/>
      <c r="L261" s="8"/>
      <c r="M261" s="8"/>
      <c r="N261" s="8"/>
    </row>
    <row r="262" spans="11:14" ht="15.75" customHeight="1" x14ac:dyDescent="0.3">
      <c r="K262" s="8"/>
      <c r="L262" s="8"/>
      <c r="M262" s="8"/>
      <c r="N262" s="8"/>
    </row>
    <row r="263" spans="11:14" ht="15.75" customHeight="1" x14ac:dyDescent="0.3">
      <c r="K263" s="8"/>
      <c r="L263" s="8"/>
      <c r="M263" s="8"/>
      <c r="N263" s="8"/>
    </row>
    <row r="264" spans="11:14" ht="15.75" customHeight="1" x14ac:dyDescent="0.3">
      <c r="K264" s="8"/>
      <c r="L264" s="8"/>
      <c r="M264" s="8"/>
      <c r="N264" s="8"/>
    </row>
    <row r="265" spans="11:14" ht="15.75" customHeight="1" x14ac:dyDescent="0.3">
      <c r="K265" s="8"/>
      <c r="L265" s="8"/>
      <c r="M265" s="8"/>
      <c r="N265" s="8"/>
    </row>
    <row r="266" spans="11:14" ht="15.75" customHeight="1" x14ac:dyDescent="0.3">
      <c r="K266" s="8"/>
      <c r="L266" s="8"/>
      <c r="M266" s="8"/>
      <c r="N266" s="8"/>
    </row>
    <row r="267" spans="11:14" ht="15.75" customHeight="1" x14ac:dyDescent="0.3">
      <c r="K267" s="8"/>
      <c r="L267" s="8"/>
      <c r="M267" s="8"/>
      <c r="N267" s="8"/>
    </row>
    <row r="268" spans="11:14" ht="15.75" customHeight="1" x14ac:dyDescent="0.3">
      <c r="K268" s="8"/>
      <c r="L268" s="8"/>
      <c r="M268" s="8"/>
      <c r="N268" s="8"/>
    </row>
    <row r="269" spans="11:14" ht="15.75" customHeight="1" x14ac:dyDescent="0.3">
      <c r="K269" s="8"/>
      <c r="L269" s="8"/>
      <c r="M269" s="8"/>
      <c r="N269" s="8"/>
    </row>
    <row r="270" spans="11:14" ht="15.75" customHeight="1" x14ac:dyDescent="0.3">
      <c r="K270" s="8"/>
      <c r="L270" s="8"/>
      <c r="M270" s="8"/>
      <c r="N270" s="8"/>
    </row>
    <row r="271" spans="11:14" ht="15.75" customHeight="1" x14ac:dyDescent="0.3">
      <c r="K271" s="8"/>
      <c r="L271" s="8"/>
      <c r="M271" s="8"/>
      <c r="N271" s="8"/>
    </row>
    <row r="272" spans="11:14" ht="15.75" customHeight="1" x14ac:dyDescent="0.3">
      <c r="K272" s="8"/>
      <c r="L272" s="8"/>
      <c r="M272" s="8"/>
      <c r="N272" s="8"/>
    </row>
    <row r="273" spans="11:14" ht="15.75" customHeight="1" x14ac:dyDescent="0.3">
      <c r="K273" s="8"/>
      <c r="L273" s="8"/>
      <c r="M273" s="8"/>
      <c r="N273" s="8"/>
    </row>
    <row r="274" spans="11:14" ht="15.75" customHeight="1" x14ac:dyDescent="0.3">
      <c r="K274" s="8"/>
      <c r="L274" s="8"/>
      <c r="M274" s="8"/>
      <c r="N274" s="8"/>
    </row>
    <row r="275" spans="11:14" ht="15.75" customHeight="1" x14ac:dyDescent="0.3">
      <c r="K275" s="8"/>
      <c r="L275" s="8"/>
      <c r="M275" s="8"/>
      <c r="N275" s="8"/>
    </row>
    <row r="276" spans="11:14" ht="15.75" customHeight="1" x14ac:dyDescent="0.3">
      <c r="K276" s="8"/>
      <c r="L276" s="8"/>
      <c r="M276" s="8"/>
      <c r="N276" s="8"/>
    </row>
    <row r="277" spans="11:14" ht="15.75" customHeight="1" x14ac:dyDescent="0.3">
      <c r="K277" s="8"/>
      <c r="L277" s="8"/>
      <c r="M277" s="8"/>
      <c r="N277" s="8"/>
    </row>
    <row r="278" spans="11:14" ht="15.75" customHeight="1" x14ac:dyDescent="0.3">
      <c r="K278" s="8"/>
      <c r="L278" s="8"/>
      <c r="M278" s="8"/>
      <c r="N278" s="8"/>
    </row>
    <row r="279" spans="11:14" ht="15.75" customHeight="1" x14ac:dyDescent="0.3">
      <c r="K279" s="8"/>
      <c r="L279" s="8"/>
      <c r="M279" s="8"/>
      <c r="N279" s="8"/>
    </row>
    <row r="280" spans="11:14" ht="15.75" customHeight="1" x14ac:dyDescent="0.3">
      <c r="K280" s="8"/>
      <c r="L280" s="8"/>
      <c r="M280" s="8"/>
      <c r="N280" s="8"/>
    </row>
    <row r="281" spans="11:14" ht="15.75" customHeight="1" x14ac:dyDescent="0.3">
      <c r="K281" s="8"/>
      <c r="L281" s="8"/>
      <c r="M281" s="8"/>
      <c r="N281" s="8"/>
    </row>
    <row r="282" spans="11:14" ht="15.75" customHeight="1" x14ac:dyDescent="0.3">
      <c r="K282" s="8"/>
      <c r="L282" s="8"/>
      <c r="M282" s="8"/>
      <c r="N282" s="8"/>
    </row>
    <row r="283" spans="11:14" ht="15.75" customHeight="1" x14ac:dyDescent="0.3">
      <c r="K283" s="8"/>
      <c r="L283" s="8"/>
      <c r="M283" s="8"/>
      <c r="N283" s="8"/>
    </row>
    <row r="284" spans="11:14" ht="15.75" customHeight="1" x14ac:dyDescent="0.3">
      <c r="K284" s="8"/>
      <c r="L284" s="8"/>
      <c r="M284" s="8"/>
      <c r="N284" s="8"/>
    </row>
    <row r="285" spans="11:14" ht="15.75" customHeight="1" x14ac:dyDescent="0.3">
      <c r="K285" s="8"/>
      <c r="L285" s="8"/>
      <c r="M285" s="8"/>
      <c r="N285" s="8"/>
    </row>
    <row r="286" spans="11:14" ht="15.75" customHeight="1" x14ac:dyDescent="0.3">
      <c r="K286" s="8"/>
      <c r="L286" s="8"/>
      <c r="M286" s="8"/>
      <c r="N286" s="8"/>
    </row>
    <row r="287" spans="11:14" ht="15.75" customHeight="1" x14ac:dyDescent="0.3">
      <c r="K287" s="8"/>
      <c r="L287" s="8"/>
      <c r="M287" s="8"/>
      <c r="N287" s="8"/>
    </row>
    <row r="288" spans="11:14" ht="15.75" customHeight="1" x14ac:dyDescent="0.3">
      <c r="K288" s="8"/>
      <c r="L288" s="8"/>
      <c r="M288" s="8"/>
      <c r="N288" s="8"/>
    </row>
    <row r="289" spans="11:14" ht="15.75" customHeight="1" x14ac:dyDescent="0.3">
      <c r="K289" s="8"/>
      <c r="L289" s="8"/>
      <c r="M289" s="8"/>
      <c r="N289" s="8"/>
    </row>
    <row r="290" spans="11:14" ht="15.75" customHeight="1" x14ac:dyDescent="0.3">
      <c r="K290" s="8"/>
      <c r="L290" s="8"/>
      <c r="M290" s="8"/>
      <c r="N290" s="8"/>
    </row>
    <row r="291" spans="11:14" ht="15.75" customHeight="1" x14ac:dyDescent="0.3">
      <c r="K291" s="8"/>
      <c r="L291" s="8"/>
      <c r="M291" s="8"/>
      <c r="N291" s="8"/>
    </row>
    <row r="292" spans="11:14" ht="15.75" customHeight="1" x14ac:dyDescent="0.3">
      <c r="K292" s="8"/>
      <c r="L292" s="8"/>
      <c r="M292" s="8"/>
      <c r="N292" s="8"/>
    </row>
    <row r="293" spans="11:14" ht="15.75" customHeight="1" x14ac:dyDescent="0.3">
      <c r="K293" s="8"/>
      <c r="L293" s="8"/>
      <c r="M293" s="8"/>
      <c r="N293" s="8"/>
    </row>
    <row r="294" spans="11:14" ht="15.75" customHeight="1" x14ac:dyDescent="0.3">
      <c r="K294" s="8"/>
      <c r="L294" s="8"/>
      <c r="M294" s="8"/>
      <c r="N294" s="8"/>
    </row>
    <row r="295" spans="11:14" ht="15.75" customHeight="1" x14ac:dyDescent="0.3">
      <c r="K295" s="8"/>
      <c r="L295" s="8"/>
      <c r="M295" s="8"/>
      <c r="N295" s="8"/>
    </row>
    <row r="296" spans="11:14" ht="15.75" customHeight="1" x14ac:dyDescent="0.3">
      <c r="K296" s="8"/>
      <c r="L296" s="8"/>
      <c r="M296" s="8"/>
      <c r="N296" s="8"/>
    </row>
    <row r="297" spans="11:14" ht="15.75" customHeight="1" x14ac:dyDescent="0.3">
      <c r="K297" s="8"/>
      <c r="L297" s="8"/>
      <c r="M297" s="8"/>
      <c r="N297" s="8"/>
    </row>
    <row r="298" spans="11:14" ht="15.75" customHeight="1" x14ac:dyDescent="0.3">
      <c r="K298" s="8"/>
      <c r="L298" s="8"/>
      <c r="M298" s="8"/>
      <c r="N298" s="8"/>
    </row>
    <row r="299" spans="11:14" ht="15.75" customHeight="1" x14ac:dyDescent="0.3">
      <c r="K299" s="8"/>
      <c r="L299" s="8"/>
      <c r="M299" s="8"/>
      <c r="N299" s="8"/>
    </row>
    <row r="300" spans="11:14" ht="15.75" customHeight="1" x14ac:dyDescent="0.3">
      <c r="K300" s="8"/>
      <c r="L300" s="8"/>
      <c r="M300" s="8"/>
      <c r="N300" s="8"/>
    </row>
    <row r="301" spans="11:14" ht="15.75" customHeight="1" x14ac:dyDescent="0.3">
      <c r="K301" s="8"/>
      <c r="L301" s="8"/>
      <c r="M301" s="8"/>
      <c r="N301" s="8"/>
    </row>
    <row r="302" spans="11:14" ht="15.75" customHeight="1" x14ac:dyDescent="0.3">
      <c r="K302" s="8"/>
      <c r="L302" s="8"/>
      <c r="M302" s="8"/>
      <c r="N302" s="8"/>
    </row>
    <row r="303" spans="11:14" ht="15.75" customHeight="1" x14ac:dyDescent="0.3">
      <c r="K303" s="8"/>
      <c r="L303" s="8"/>
      <c r="M303" s="8"/>
      <c r="N303" s="8"/>
    </row>
    <row r="304" spans="11:14" ht="15.75" customHeight="1" x14ac:dyDescent="0.3">
      <c r="K304" s="8"/>
      <c r="L304" s="8"/>
      <c r="M304" s="8"/>
      <c r="N304" s="8"/>
    </row>
    <row r="305" spans="11:14" ht="15.75" customHeight="1" x14ac:dyDescent="0.3">
      <c r="K305" s="8"/>
      <c r="L305" s="8"/>
      <c r="M305" s="8"/>
      <c r="N305" s="8"/>
    </row>
    <row r="306" spans="11:14" ht="15.75" customHeight="1" x14ac:dyDescent="0.3">
      <c r="K306" s="8"/>
      <c r="L306" s="8"/>
      <c r="M306" s="8"/>
      <c r="N306" s="8"/>
    </row>
    <row r="307" spans="11:14" ht="15.75" customHeight="1" x14ac:dyDescent="0.3">
      <c r="K307" s="8"/>
      <c r="L307" s="8"/>
      <c r="M307" s="8"/>
      <c r="N307" s="8"/>
    </row>
    <row r="308" spans="11:14" ht="15.75" customHeight="1" x14ac:dyDescent="0.3">
      <c r="K308" s="8"/>
      <c r="L308" s="8"/>
      <c r="M308" s="8"/>
      <c r="N308" s="8"/>
    </row>
    <row r="309" spans="11:14" ht="15.75" customHeight="1" x14ac:dyDescent="0.3">
      <c r="K309" s="8"/>
      <c r="L309" s="8"/>
      <c r="M309" s="8"/>
      <c r="N309" s="8"/>
    </row>
    <row r="310" spans="11:14" ht="15.75" customHeight="1" x14ac:dyDescent="0.3">
      <c r="K310" s="8"/>
      <c r="L310" s="8"/>
      <c r="M310" s="8"/>
      <c r="N310" s="8"/>
    </row>
    <row r="311" spans="11:14" ht="15.75" customHeight="1" x14ac:dyDescent="0.3">
      <c r="K311" s="8"/>
      <c r="L311" s="8"/>
      <c r="M311" s="8"/>
      <c r="N311" s="8"/>
    </row>
    <row r="312" spans="11:14" ht="15.75" customHeight="1" x14ac:dyDescent="0.3">
      <c r="K312" s="8"/>
      <c r="L312" s="8"/>
      <c r="M312" s="8"/>
      <c r="N312" s="8"/>
    </row>
    <row r="313" spans="11:14" ht="15.75" customHeight="1" x14ac:dyDescent="0.3">
      <c r="K313" s="8"/>
      <c r="L313" s="8"/>
      <c r="M313" s="8"/>
      <c r="N313" s="8"/>
    </row>
    <row r="314" spans="11:14" ht="15.75" customHeight="1" x14ac:dyDescent="0.3">
      <c r="K314" s="8"/>
      <c r="L314" s="8"/>
      <c r="M314" s="8"/>
      <c r="N314" s="8"/>
    </row>
    <row r="315" spans="11:14" ht="15.75" customHeight="1" x14ac:dyDescent="0.3">
      <c r="K315" s="8"/>
      <c r="L315" s="8"/>
      <c r="M315" s="8"/>
      <c r="N315" s="8"/>
    </row>
    <row r="316" spans="11:14" ht="15.75" customHeight="1" x14ac:dyDescent="0.3">
      <c r="K316" s="8"/>
      <c r="L316" s="8"/>
      <c r="M316" s="8"/>
      <c r="N316" s="8"/>
    </row>
    <row r="317" spans="11:14" ht="15.75" customHeight="1" x14ac:dyDescent="0.3">
      <c r="K317" s="8"/>
      <c r="L317" s="8"/>
      <c r="M317" s="8"/>
      <c r="N317" s="8"/>
    </row>
    <row r="318" spans="11:14" ht="15.75" customHeight="1" x14ac:dyDescent="0.3">
      <c r="K318" s="8"/>
      <c r="L318" s="8"/>
      <c r="M318" s="8"/>
      <c r="N318" s="8"/>
    </row>
    <row r="319" spans="11:14" ht="15.75" customHeight="1" x14ac:dyDescent="0.3">
      <c r="K319" s="8"/>
      <c r="L319" s="8"/>
      <c r="M319" s="8"/>
      <c r="N319" s="8"/>
    </row>
    <row r="320" spans="11:14" ht="15.75" customHeight="1" x14ac:dyDescent="0.3">
      <c r="K320" s="8"/>
      <c r="L320" s="8"/>
      <c r="M320" s="8"/>
      <c r="N320" s="8"/>
    </row>
    <row r="321" spans="11:14" ht="15.75" customHeight="1" x14ac:dyDescent="0.3">
      <c r="K321" s="8"/>
      <c r="L321" s="8"/>
      <c r="M321" s="8"/>
      <c r="N321" s="8"/>
    </row>
    <row r="322" spans="11:14" ht="15.75" customHeight="1" x14ac:dyDescent="0.3">
      <c r="K322" s="8"/>
      <c r="L322" s="8"/>
      <c r="M322" s="8"/>
      <c r="N322" s="8"/>
    </row>
    <row r="323" spans="11:14" ht="15.75" customHeight="1" x14ac:dyDescent="0.3">
      <c r="K323" s="8"/>
      <c r="L323" s="8"/>
      <c r="M323" s="8"/>
      <c r="N323" s="8"/>
    </row>
    <row r="324" spans="11:14" ht="15.75" customHeight="1" x14ac:dyDescent="0.3">
      <c r="K324" s="8"/>
      <c r="L324" s="8"/>
      <c r="M324" s="8"/>
      <c r="N324" s="8"/>
    </row>
    <row r="325" spans="11:14" ht="15.75" customHeight="1" x14ac:dyDescent="0.3">
      <c r="K325" s="8"/>
      <c r="L325" s="8"/>
      <c r="M325" s="8"/>
      <c r="N325" s="8"/>
    </row>
    <row r="326" spans="11:14" ht="15.75" customHeight="1" x14ac:dyDescent="0.3">
      <c r="K326" s="8"/>
      <c r="L326" s="8"/>
      <c r="M326" s="8"/>
      <c r="N326" s="8"/>
    </row>
    <row r="327" spans="11:14" ht="15.75" customHeight="1" x14ac:dyDescent="0.3">
      <c r="K327" s="8"/>
      <c r="L327" s="8"/>
      <c r="M327" s="8"/>
      <c r="N327" s="8"/>
    </row>
    <row r="328" spans="11:14" ht="15.75" customHeight="1" x14ac:dyDescent="0.3">
      <c r="K328" s="8"/>
      <c r="L328" s="8"/>
      <c r="M328" s="8"/>
      <c r="N328" s="8"/>
    </row>
    <row r="329" spans="11:14" ht="15.75" customHeight="1" x14ac:dyDescent="0.3">
      <c r="K329" s="8"/>
      <c r="L329" s="8"/>
      <c r="M329" s="8"/>
      <c r="N329" s="8"/>
    </row>
    <row r="330" spans="11:14" ht="15.75" customHeight="1" x14ac:dyDescent="0.3">
      <c r="K330" s="8"/>
      <c r="L330" s="8"/>
      <c r="M330" s="8"/>
      <c r="N330" s="8"/>
    </row>
    <row r="331" spans="11:14" ht="15.75" customHeight="1" x14ac:dyDescent="0.3">
      <c r="K331" s="8"/>
      <c r="L331" s="8"/>
      <c r="M331" s="8"/>
      <c r="N331" s="8"/>
    </row>
    <row r="332" spans="11:14" ht="15.75" customHeight="1" x14ac:dyDescent="0.3">
      <c r="K332" s="8"/>
      <c r="L332" s="8"/>
      <c r="M332" s="8"/>
      <c r="N332" s="8"/>
    </row>
    <row r="333" spans="11:14" ht="15.75" customHeight="1" x14ac:dyDescent="0.3">
      <c r="K333" s="8"/>
      <c r="L333" s="8"/>
      <c r="M333" s="8"/>
      <c r="N333" s="8"/>
    </row>
    <row r="334" spans="11:14" ht="15.75" customHeight="1" x14ac:dyDescent="0.3">
      <c r="K334" s="8"/>
      <c r="L334" s="8"/>
      <c r="M334" s="8"/>
      <c r="N334" s="8"/>
    </row>
    <row r="335" spans="11:14" ht="15.75" customHeight="1" x14ac:dyDescent="0.3">
      <c r="K335" s="8"/>
      <c r="L335" s="8"/>
      <c r="M335" s="8"/>
      <c r="N335" s="8"/>
    </row>
    <row r="336" spans="11:14" ht="15.75" customHeight="1" x14ac:dyDescent="0.3">
      <c r="K336" s="8"/>
      <c r="L336" s="8"/>
      <c r="M336" s="8"/>
      <c r="N336" s="8"/>
    </row>
    <row r="337" spans="11:14" ht="15.75" customHeight="1" x14ac:dyDescent="0.3">
      <c r="K337" s="8"/>
      <c r="L337" s="8"/>
      <c r="M337" s="8"/>
      <c r="N337" s="8"/>
    </row>
    <row r="338" spans="11:14" ht="15.75" customHeight="1" x14ac:dyDescent="0.3">
      <c r="K338" s="8"/>
      <c r="L338" s="8"/>
      <c r="M338" s="8"/>
      <c r="N338" s="8"/>
    </row>
    <row r="339" spans="11:14" ht="15.75" customHeight="1" x14ac:dyDescent="0.3">
      <c r="K339" s="8"/>
      <c r="L339" s="8"/>
      <c r="M339" s="8"/>
      <c r="N339" s="8"/>
    </row>
    <row r="340" spans="11:14" ht="15.75" customHeight="1" x14ac:dyDescent="0.3">
      <c r="K340" s="8"/>
      <c r="L340" s="8"/>
      <c r="M340" s="8"/>
      <c r="N340" s="8"/>
    </row>
    <row r="341" spans="11:14" ht="15.75" customHeight="1" x14ac:dyDescent="0.3">
      <c r="K341" s="8"/>
      <c r="L341" s="8"/>
      <c r="M341" s="8"/>
      <c r="N341" s="8"/>
    </row>
    <row r="342" spans="11:14" ht="15.75" customHeight="1" x14ac:dyDescent="0.3">
      <c r="K342" s="8"/>
      <c r="L342" s="8"/>
      <c r="M342" s="8"/>
      <c r="N342" s="8"/>
    </row>
    <row r="343" spans="11:14" ht="15.75" customHeight="1" x14ac:dyDescent="0.3">
      <c r="K343" s="8"/>
      <c r="L343" s="8"/>
      <c r="M343" s="8"/>
      <c r="N343" s="8"/>
    </row>
    <row r="344" spans="11:14" ht="15.75" customHeight="1" x14ac:dyDescent="0.3">
      <c r="K344" s="8"/>
      <c r="L344" s="8"/>
      <c r="M344" s="8"/>
      <c r="N344" s="8"/>
    </row>
    <row r="345" spans="11:14" ht="15.75" customHeight="1" x14ac:dyDescent="0.3">
      <c r="K345" s="8"/>
      <c r="L345" s="8"/>
      <c r="M345" s="8"/>
      <c r="N345" s="8"/>
    </row>
    <row r="346" spans="11:14" ht="15.75" customHeight="1" x14ac:dyDescent="0.3">
      <c r="K346" s="8"/>
      <c r="L346" s="8"/>
      <c r="M346" s="8"/>
      <c r="N346" s="8"/>
    </row>
    <row r="347" spans="11:14" ht="15.75" customHeight="1" x14ac:dyDescent="0.3">
      <c r="K347" s="8"/>
      <c r="L347" s="8"/>
      <c r="M347" s="8"/>
      <c r="N347" s="8"/>
    </row>
    <row r="348" spans="11:14" ht="15.75" customHeight="1" x14ac:dyDescent="0.3">
      <c r="K348" s="8"/>
      <c r="L348" s="8"/>
      <c r="M348" s="8"/>
      <c r="N348" s="8"/>
    </row>
    <row r="349" spans="11:14" ht="15.75" customHeight="1" x14ac:dyDescent="0.3">
      <c r="K349" s="8"/>
      <c r="L349" s="8"/>
      <c r="M349" s="8"/>
      <c r="N349" s="8"/>
    </row>
    <row r="350" spans="11:14" ht="15.75" customHeight="1" x14ac:dyDescent="0.3">
      <c r="K350" s="8"/>
      <c r="L350" s="8"/>
      <c r="M350" s="8"/>
      <c r="N350" s="8"/>
    </row>
    <row r="351" spans="11:14" ht="15.75" customHeight="1" x14ac:dyDescent="0.3">
      <c r="K351" s="8"/>
      <c r="L351" s="8"/>
      <c r="M351" s="8"/>
      <c r="N351" s="8"/>
    </row>
    <row r="352" spans="11:14" ht="15.75" customHeight="1" x14ac:dyDescent="0.3">
      <c r="K352" s="8"/>
      <c r="L352" s="8"/>
      <c r="M352" s="8"/>
      <c r="N352" s="8"/>
    </row>
    <row r="353" spans="11:14" ht="15.75" customHeight="1" x14ac:dyDescent="0.3">
      <c r="K353" s="8"/>
      <c r="L353" s="8"/>
      <c r="M353" s="8"/>
      <c r="N353" s="8"/>
    </row>
    <row r="354" spans="11:14" ht="15.75" customHeight="1" x14ac:dyDescent="0.3">
      <c r="K354" s="8"/>
      <c r="L354" s="8"/>
      <c r="M354" s="8"/>
      <c r="N354" s="8"/>
    </row>
    <row r="355" spans="11:14" ht="15.75" customHeight="1" x14ac:dyDescent="0.3">
      <c r="K355" s="8"/>
      <c r="L355" s="8"/>
      <c r="M355" s="8"/>
      <c r="N355" s="8"/>
    </row>
    <row r="356" spans="11:14" ht="15.75" customHeight="1" x14ac:dyDescent="0.3">
      <c r="K356" s="8"/>
      <c r="L356" s="8"/>
      <c r="M356" s="8"/>
      <c r="N356" s="8"/>
    </row>
    <row r="357" spans="11:14" ht="15.75" customHeight="1" x14ac:dyDescent="0.3">
      <c r="K357" s="8"/>
      <c r="L357" s="8"/>
      <c r="M357" s="8"/>
      <c r="N357" s="8"/>
    </row>
    <row r="358" spans="11:14" ht="15.75" customHeight="1" x14ac:dyDescent="0.3">
      <c r="K358" s="8"/>
      <c r="L358" s="8"/>
      <c r="M358" s="8"/>
      <c r="N358" s="8"/>
    </row>
    <row r="359" spans="11:14" ht="15.75" customHeight="1" x14ac:dyDescent="0.3">
      <c r="K359" s="8"/>
      <c r="L359" s="8"/>
      <c r="M359" s="8"/>
      <c r="N359" s="8"/>
    </row>
    <row r="360" spans="11:14" ht="15.75" customHeight="1" x14ac:dyDescent="0.3">
      <c r="K360" s="8"/>
      <c r="L360" s="8"/>
      <c r="M360" s="8"/>
      <c r="N360" s="8"/>
    </row>
    <row r="361" spans="11:14" ht="15.75" customHeight="1" x14ac:dyDescent="0.3">
      <c r="K361" s="8"/>
      <c r="L361" s="8"/>
      <c r="M361" s="8"/>
      <c r="N361" s="8"/>
    </row>
    <row r="362" spans="11:14" ht="15.75" customHeight="1" x14ac:dyDescent="0.3">
      <c r="K362" s="8"/>
      <c r="L362" s="8"/>
      <c r="M362" s="8"/>
      <c r="N362" s="8"/>
    </row>
    <row r="363" spans="11:14" ht="15.75" customHeight="1" x14ac:dyDescent="0.3">
      <c r="K363" s="8"/>
      <c r="L363" s="8"/>
      <c r="M363" s="8"/>
      <c r="N363" s="8"/>
    </row>
    <row r="364" spans="11:14" ht="15.75" customHeight="1" x14ac:dyDescent="0.3">
      <c r="K364" s="8"/>
      <c r="L364" s="8"/>
      <c r="M364" s="8"/>
      <c r="N364" s="8"/>
    </row>
    <row r="365" spans="11:14" ht="15.75" customHeight="1" x14ac:dyDescent="0.3">
      <c r="K365" s="8"/>
      <c r="L365" s="8"/>
      <c r="M365" s="8"/>
      <c r="N365" s="8"/>
    </row>
    <row r="366" spans="11:14" ht="15.75" customHeight="1" x14ac:dyDescent="0.3">
      <c r="K366" s="8"/>
      <c r="L366" s="8"/>
      <c r="M366" s="8"/>
      <c r="N366" s="8"/>
    </row>
    <row r="367" spans="11:14" ht="15.75" customHeight="1" x14ac:dyDescent="0.3">
      <c r="K367" s="8"/>
      <c r="L367" s="8"/>
      <c r="M367" s="8"/>
      <c r="N367" s="8"/>
    </row>
    <row r="368" spans="11:14" ht="15.75" customHeight="1" x14ac:dyDescent="0.3">
      <c r="K368" s="8"/>
      <c r="L368" s="8"/>
      <c r="M368" s="8"/>
      <c r="N368" s="8"/>
    </row>
    <row r="369" spans="11:14" ht="15.75" customHeight="1" x14ac:dyDescent="0.3">
      <c r="K369" s="8"/>
      <c r="L369" s="8"/>
      <c r="M369" s="8"/>
      <c r="N369" s="8"/>
    </row>
    <row r="370" spans="11:14" ht="15.75" customHeight="1" x14ac:dyDescent="0.3">
      <c r="K370" s="8"/>
      <c r="L370" s="8"/>
      <c r="M370" s="8"/>
      <c r="N370" s="8"/>
    </row>
    <row r="371" spans="11:14" ht="15.75" customHeight="1" x14ac:dyDescent="0.3">
      <c r="K371" s="8"/>
      <c r="L371" s="8"/>
      <c r="M371" s="8"/>
      <c r="N371" s="8"/>
    </row>
    <row r="372" spans="11:14" ht="15.75" customHeight="1" x14ac:dyDescent="0.3">
      <c r="K372" s="8"/>
      <c r="L372" s="8"/>
      <c r="M372" s="8"/>
      <c r="N372" s="8"/>
    </row>
    <row r="373" spans="11:14" ht="15.75" customHeight="1" x14ac:dyDescent="0.3">
      <c r="K373" s="8"/>
      <c r="L373" s="8"/>
      <c r="M373" s="8"/>
      <c r="N373" s="8"/>
    </row>
    <row r="374" spans="11:14" ht="15.75" customHeight="1" x14ac:dyDescent="0.3">
      <c r="K374" s="8"/>
      <c r="L374" s="8"/>
      <c r="M374" s="8"/>
      <c r="N374" s="8"/>
    </row>
    <row r="375" spans="11:14" ht="15.75" customHeight="1" x14ac:dyDescent="0.3">
      <c r="K375" s="8"/>
      <c r="L375" s="8"/>
      <c r="M375" s="8"/>
      <c r="N375" s="8"/>
    </row>
    <row r="376" spans="11:14" ht="15.75" customHeight="1" x14ac:dyDescent="0.3">
      <c r="K376" s="8"/>
      <c r="L376" s="8"/>
      <c r="M376" s="8"/>
      <c r="N376" s="8"/>
    </row>
    <row r="377" spans="11:14" ht="15.75" customHeight="1" x14ac:dyDescent="0.3">
      <c r="K377" s="8"/>
      <c r="L377" s="8"/>
      <c r="M377" s="8"/>
      <c r="N377" s="8"/>
    </row>
    <row r="378" spans="11:14" ht="15.75" customHeight="1" x14ac:dyDescent="0.3">
      <c r="K378" s="8"/>
      <c r="L378" s="8"/>
      <c r="M378" s="8"/>
      <c r="N378" s="8"/>
    </row>
    <row r="379" spans="11:14" ht="15.75" customHeight="1" x14ac:dyDescent="0.3">
      <c r="K379" s="8"/>
      <c r="L379" s="8"/>
      <c r="M379" s="8"/>
      <c r="N379" s="8"/>
    </row>
    <row r="380" spans="11:14" ht="15.75" customHeight="1" x14ac:dyDescent="0.3">
      <c r="K380" s="8"/>
      <c r="L380" s="8"/>
      <c r="M380" s="8"/>
      <c r="N380" s="8"/>
    </row>
    <row r="381" spans="11:14" ht="15.75" customHeight="1" x14ac:dyDescent="0.3">
      <c r="K381" s="8"/>
      <c r="L381" s="8"/>
      <c r="M381" s="8"/>
      <c r="N381" s="8"/>
    </row>
    <row r="382" spans="11:14" ht="15.75" customHeight="1" x14ac:dyDescent="0.3">
      <c r="K382" s="8"/>
      <c r="L382" s="8"/>
      <c r="M382" s="8"/>
      <c r="N382" s="8"/>
    </row>
    <row r="383" spans="11:14" ht="15.75" customHeight="1" x14ac:dyDescent="0.3">
      <c r="K383" s="8"/>
      <c r="L383" s="8"/>
      <c r="M383" s="8"/>
      <c r="N383" s="8"/>
    </row>
    <row r="384" spans="11:14" ht="15.75" customHeight="1" x14ac:dyDescent="0.3">
      <c r="K384" s="8"/>
      <c r="L384" s="8"/>
      <c r="M384" s="8"/>
      <c r="N384" s="8"/>
    </row>
    <row r="385" spans="11:14" ht="15.75" customHeight="1" x14ac:dyDescent="0.3">
      <c r="K385" s="8"/>
      <c r="L385" s="8"/>
      <c r="M385" s="8"/>
      <c r="N385" s="8"/>
    </row>
    <row r="386" spans="11:14" ht="15.75" customHeight="1" x14ac:dyDescent="0.3">
      <c r="K386" s="8"/>
      <c r="L386" s="8"/>
      <c r="M386" s="8"/>
      <c r="N386" s="8"/>
    </row>
    <row r="387" spans="11:14" ht="15.75" customHeight="1" x14ac:dyDescent="0.3">
      <c r="K387" s="8"/>
      <c r="L387" s="8"/>
      <c r="M387" s="8"/>
      <c r="N387" s="8"/>
    </row>
    <row r="388" spans="11:14" ht="15.75" customHeight="1" x14ac:dyDescent="0.3">
      <c r="K388" s="8"/>
      <c r="L388" s="8"/>
      <c r="M388" s="8"/>
      <c r="N388" s="8"/>
    </row>
    <row r="389" spans="11:14" ht="15.75" customHeight="1" x14ac:dyDescent="0.3">
      <c r="K389" s="8"/>
      <c r="L389" s="8"/>
      <c r="M389" s="8"/>
      <c r="N389" s="8"/>
    </row>
    <row r="390" spans="11:14" ht="15.75" customHeight="1" x14ac:dyDescent="0.3">
      <c r="K390" s="8"/>
      <c r="L390" s="8"/>
      <c r="M390" s="8"/>
      <c r="N390" s="8"/>
    </row>
    <row r="391" spans="11:14" ht="15.75" customHeight="1" x14ac:dyDescent="0.3">
      <c r="K391" s="8"/>
      <c r="L391" s="8"/>
      <c r="M391" s="8"/>
      <c r="N391" s="8"/>
    </row>
    <row r="392" spans="11:14" ht="15.75" customHeight="1" x14ac:dyDescent="0.3">
      <c r="K392" s="8"/>
      <c r="L392" s="8"/>
      <c r="M392" s="8"/>
      <c r="N392" s="8"/>
    </row>
    <row r="393" spans="11:14" ht="15.75" customHeight="1" x14ac:dyDescent="0.3">
      <c r="K393" s="8"/>
      <c r="L393" s="8"/>
      <c r="M393" s="8"/>
      <c r="N393" s="8"/>
    </row>
    <row r="394" spans="11:14" ht="15.75" customHeight="1" x14ac:dyDescent="0.3">
      <c r="K394" s="8"/>
      <c r="L394" s="8"/>
      <c r="M394" s="8"/>
      <c r="N394" s="8"/>
    </row>
    <row r="395" spans="11:14" ht="15.75" customHeight="1" x14ac:dyDescent="0.3">
      <c r="K395" s="8"/>
      <c r="L395" s="8"/>
      <c r="M395" s="8"/>
      <c r="N395" s="8"/>
    </row>
    <row r="396" spans="11:14" ht="15.75" customHeight="1" x14ac:dyDescent="0.3">
      <c r="K396" s="8"/>
      <c r="L396" s="8"/>
      <c r="M396" s="8"/>
      <c r="N396" s="8"/>
    </row>
    <row r="397" spans="11:14" ht="15.75" customHeight="1" x14ac:dyDescent="0.3">
      <c r="K397" s="8"/>
      <c r="L397" s="8"/>
      <c r="M397" s="8"/>
      <c r="N397" s="8"/>
    </row>
    <row r="398" spans="11:14" ht="15.75" customHeight="1" x14ac:dyDescent="0.3">
      <c r="K398" s="8"/>
      <c r="L398" s="8"/>
      <c r="M398" s="8"/>
      <c r="N398" s="8"/>
    </row>
    <row r="399" spans="11:14" ht="15.75" customHeight="1" x14ac:dyDescent="0.3">
      <c r="K399" s="8"/>
      <c r="L399" s="8"/>
      <c r="M399" s="8"/>
      <c r="N399" s="8"/>
    </row>
    <row r="400" spans="11:14" ht="15.75" customHeight="1" x14ac:dyDescent="0.3">
      <c r="K400" s="8"/>
      <c r="L400" s="8"/>
      <c r="M400" s="8"/>
      <c r="N400" s="8"/>
    </row>
    <row r="401" spans="11:14" ht="15.75" customHeight="1" x14ac:dyDescent="0.3">
      <c r="K401" s="8"/>
      <c r="L401" s="8"/>
      <c r="M401" s="8"/>
      <c r="N401" s="8"/>
    </row>
    <row r="402" spans="11:14" ht="15.75" customHeight="1" x14ac:dyDescent="0.3">
      <c r="K402" s="8"/>
      <c r="L402" s="8"/>
      <c r="M402" s="8"/>
      <c r="N402" s="8"/>
    </row>
    <row r="403" spans="11:14" ht="15.75" customHeight="1" x14ac:dyDescent="0.3">
      <c r="K403" s="8"/>
      <c r="L403" s="8"/>
      <c r="M403" s="8"/>
      <c r="N403" s="8"/>
    </row>
    <row r="404" spans="11:14" ht="15.75" customHeight="1" x14ac:dyDescent="0.3">
      <c r="K404" s="8"/>
      <c r="L404" s="8"/>
      <c r="M404" s="8"/>
      <c r="N404" s="8"/>
    </row>
    <row r="405" spans="11:14" ht="15.75" customHeight="1" x14ac:dyDescent="0.3">
      <c r="K405" s="8"/>
      <c r="L405" s="8"/>
      <c r="M405" s="8"/>
      <c r="N405" s="8"/>
    </row>
    <row r="406" spans="11:14" ht="15.75" customHeight="1" x14ac:dyDescent="0.3">
      <c r="K406" s="8"/>
      <c r="L406" s="8"/>
      <c r="M406" s="8"/>
      <c r="N406" s="8"/>
    </row>
    <row r="407" spans="11:14" ht="15.75" customHeight="1" x14ac:dyDescent="0.3">
      <c r="K407" s="8"/>
      <c r="L407" s="8"/>
      <c r="M407" s="8"/>
      <c r="N407" s="8"/>
    </row>
    <row r="408" spans="11:14" ht="15.75" customHeight="1" x14ac:dyDescent="0.3">
      <c r="K408" s="8"/>
      <c r="L408" s="8"/>
      <c r="M408" s="8"/>
      <c r="N408" s="8"/>
    </row>
    <row r="409" spans="11:14" ht="15.75" customHeight="1" x14ac:dyDescent="0.3">
      <c r="K409" s="8"/>
      <c r="L409" s="8"/>
      <c r="M409" s="8"/>
      <c r="N409" s="8"/>
    </row>
    <row r="410" spans="11:14" ht="15.75" customHeight="1" x14ac:dyDescent="0.3">
      <c r="K410" s="8"/>
      <c r="L410" s="8"/>
      <c r="M410" s="8"/>
      <c r="N410" s="8"/>
    </row>
    <row r="411" spans="11:14" ht="15.75" customHeight="1" x14ac:dyDescent="0.3">
      <c r="K411" s="8"/>
      <c r="L411" s="8"/>
      <c r="M411" s="8"/>
      <c r="N411" s="8"/>
    </row>
    <row r="412" spans="11:14" ht="15.75" customHeight="1" x14ac:dyDescent="0.3">
      <c r="K412" s="8"/>
      <c r="L412" s="8"/>
      <c r="M412" s="8"/>
      <c r="N412" s="8"/>
    </row>
    <row r="413" spans="11:14" ht="15.75" customHeight="1" x14ac:dyDescent="0.3">
      <c r="K413" s="8"/>
      <c r="L413" s="8"/>
      <c r="M413" s="8"/>
      <c r="N413" s="8"/>
    </row>
    <row r="414" spans="11:14" ht="15.75" customHeight="1" x14ac:dyDescent="0.3">
      <c r="K414" s="8"/>
      <c r="L414" s="8"/>
      <c r="M414" s="8"/>
      <c r="N414" s="8"/>
    </row>
    <row r="415" spans="11:14" ht="15.75" customHeight="1" x14ac:dyDescent="0.3">
      <c r="K415" s="8"/>
      <c r="L415" s="8"/>
      <c r="M415" s="8"/>
      <c r="N415" s="8"/>
    </row>
    <row r="416" spans="11:14" ht="15.75" customHeight="1" x14ac:dyDescent="0.3">
      <c r="K416" s="8"/>
      <c r="L416" s="8"/>
      <c r="M416" s="8"/>
      <c r="N416" s="8"/>
    </row>
    <row r="417" spans="11:14" ht="15.75" customHeight="1" x14ac:dyDescent="0.3">
      <c r="K417" s="8"/>
      <c r="L417" s="8"/>
      <c r="M417" s="8"/>
      <c r="N417" s="8"/>
    </row>
    <row r="418" spans="11:14" ht="15.75" customHeight="1" x14ac:dyDescent="0.3">
      <c r="K418" s="8"/>
      <c r="L418" s="8"/>
      <c r="M418" s="8"/>
      <c r="N418" s="8"/>
    </row>
    <row r="419" spans="11:14" ht="15.75" customHeight="1" x14ac:dyDescent="0.3">
      <c r="K419" s="8"/>
      <c r="L419" s="8"/>
      <c r="M419" s="8"/>
      <c r="N419" s="8"/>
    </row>
    <row r="420" spans="11:14" ht="15.75" customHeight="1" x14ac:dyDescent="0.3">
      <c r="K420" s="8"/>
      <c r="L420" s="8"/>
      <c r="M420" s="8"/>
      <c r="N420" s="8"/>
    </row>
    <row r="421" spans="11:14" ht="15.75" customHeight="1" x14ac:dyDescent="0.3">
      <c r="K421" s="8"/>
      <c r="L421" s="8"/>
      <c r="M421" s="8"/>
      <c r="N421" s="8"/>
    </row>
    <row r="422" spans="11:14" ht="15.75" customHeight="1" x14ac:dyDescent="0.3">
      <c r="K422" s="8"/>
      <c r="L422" s="8"/>
      <c r="M422" s="8"/>
      <c r="N422" s="8"/>
    </row>
    <row r="423" spans="11:14" ht="15.75" customHeight="1" x14ac:dyDescent="0.3">
      <c r="K423" s="8"/>
      <c r="L423" s="8"/>
      <c r="M423" s="8"/>
      <c r="N423" s="8"/>
    </row>
    <row r="424" spans="11:14" ht="15.75" customHeight="1" x14ac:dyDescent="0.3">
      <c r="K424" s="8"/>
      <c r="L424" s="8"/>
      <c r="M424" s="8"/>
      <c r="N424" s="8"/>
    </row>
    <row r="425" spans="11:14" ht="15.75" customHeight="1" x14ac:dyDescent="0.3">
      <c r="K425" s="8"/>
      <c r="L425" s="8"/>
      <c r="M425" s="8"/>
      <c r="N425" s="8"/>
    </row>
    <row r="426" spans="11:14" ht="15.75" customHeight="1" x14ac:dyDescent="0.3">
      <c r="K426" s="8"/>
      <c r="L426" s="8"/>
      <c r="M426" s="8"/>
      <c r="N426" s="8"/>
    </row>
    <row r="427" spans="11:14" ht="15.75" customHeight="1" x14ac:dyDescent="0.3">
      <c r="K427" s="8"/>
      <c r="L427" s="8"/>
      <c r="M427" s="8"/>
      <c r="N427" s="8"/>
    </row>
    <row r="428" spans="11:14" ht="15.75" customHeight="1" x14ac:dyDescent="0.3">
      <c r="K428" s="8"/>
      <c r="L428" s="8"/>
      <c r="M428" s="8"/>
      <c r="N428" s="8"/>
    </row>
    <row r="429" spans="11:14" ht="15.75" customHeight="1" x14ac:dyDescent="0.3">
      <c r="K429" s="8"/>
      <c r="L429" s="8"/>
      <c r="M429" s="8"/>
      <c r="N429" s="8"/>
    </row>
    <row r="430" spans="11:14" ht="15.75" customHeight="1" x14ac:dyDescent="0.3">
      <c r="K430" s="8"/>
      <c r="L430" s="8"/>
      <c r="M430" s="8"/>
      <c r="N430" s="8"/>
    </row>
    <row r="431" spans="11:14" ht="15.75" customHeight="1" x14ac:dyDescent="0.3">
      <c r="K431" s="8"/>
      <c r="L431" s="8"/>
      <c r="M431" s="8"/>
      <c r="N431" s="8"/>
    </row>
    <row r="432" spans="11:14" ht="15.75" customHeight="1" x14ac:dyDescent="0.3">
      <c r="K432" s="8"/>
      <c r="L432" s="8"/>
      <c r="M432" s="8"/>
      <c r="N432" s="8"/>
    </row>
    <row r="433" spans="11:14" ht="15.75" customHeight="1" x14ac:dyDescent="0.3">
      <c r="K433" s="8"/>
      <c r="L433" s="8"/>
      <c r="M433" s="8"/>
      <c r="N433" s="8"/>
    </row>
    <row r="434" spans="11:14" ht="15.75" customHeight="1" x14ac:dyDescent="0.3">
      <c r="K434" s="8"/>
      <c r="L434" s="8"/>
      <c r="M434" s="8"/>
      <c r="N434" s="8"/>
    </row>
    <row r="435" spans="11:14" ht="15.75" customHeight="1" x14ac:dyDescent="0.3">
      <c r="K435" s="8"/>
      <c r="L435" s="8"/>
      <c r="M435" s="8"/>
      <c r="N435" s="8"/>
    </row>
    <row r="436" spans="11:14" ht="15.75" customHeight="1" x14ac:dyDescent="0.3">
      <c r="K436" s="8"/>
      <c r="L436" s="8"/>
      <c r="M436" s="8"/>
      <c r="N436" s="8"/>
    </row>
    <row r="437" spans="11:14" ht="15.75" customHeight="1" x14ac:dyDescent="0.3">
      <c r="K437" s="8"/>
      <c r="L437" s="8"/>
      <c r="M437" s="8"/>
      <c r="N437" s="8"/>
    </row>
    <row r="438" spans="11:14" ht="15.75" customHeight="1" x14ac:dyDescent="0.3">
      <c r="K438" s="8"/>
      <c r="L438" s="8"/>
      <c r="M438" s="8"/>
      <c r="N438" s="8"/>
    </row>
    <row r="439" spans="11:14" ht="15.75" customHeight="1" x14ac:dyDescent="0.3">
      <c r="K439" s="8"/>
      <c r="L439" s="8"/>
      <c r="M439" s="8"/>
      <c r="N439" s="8"/>
    </row>
    <row r="440" spans="11:14" ht="15.75" customHeight="1" x14ac:dyDescent="0.3">
      <c r="K440" s="8"/>
      <c r="L440" s="8"/>
      <c r="M440" s="8"/>
      <c r="N440" s="8"/>
    </row>
    <row r="441" spans="11:14" ht="15.75" customHeight="1" x14ac:dyDescent="0.3">
      <c r="K441" s="8"/>
      <c r="L441" s="8"/>
      <c r="M441" s="8"/>
      <c r="N441" s="8"/>
    </row>
    <row r="442" spans="11:14" ht="15.75" customHeight="1" x14ac:dyDescent="0.3">
      <c r="K442" s="8"/>
      <c r="L442" s="8"/>
      <c r="M442" s="8"/>
      <c r="N442" s="8"/>
    </row>
    <row r="443" spans="11:14" ht="15.75" customHeight="1" x14ac:dyDescent="0.3">
      <c r="K443" s="8"/>
      <c r="L443" s="8"/>
      <c r="M443" s="8"/>
      <c r="N443" s="8"/>
    </row>
    <row r="444" spans="11:14" ht="15.75" customHeight="1" x14ac:dyDescent="0.3">
      <c r="K444" s="8"/>
      <c r="L444" s="8"/>
      <c r="M444" s="8"/>
      <c r="N444" s="8"/>
    </row>
    <row r="445" spans="11:14" ht="15.75" customHeight="1" x14ac:dyDescent="0.3">
      <c r="K445" s="8"/>
      <c r="L445" s="8"/>
      <c r="M445" s="8"/>
      <c r="N445" s="8"/>
    </row>
    <row r="446" spans="11:14" ht="15.75" customHeight="1" x14ac:dyDescent="0.3">
      <c r="K446" s="8"/>
      <c r="L446" s="8"/>
      <c r="M446" s="8"/>
      <c r="N446" s="8"/>
    </row>
    <row r="447" spans="11:14" ht="15.75" customHeight="1" x14ac:dyDescent="0.3">
      <c r="K447" s="8"/>
      <c r="L447" s="8"/>
      <c r="M447" s="8"/>
      <c r="N447" s="8"/>
    </row>
    <row r="448" spans="11:14" ht="15.75" customHeight="1" x14ac:dyDescent="0.3">
      <c r="K448" s="8"/>
      <c r="L448" s="8"/>
      <c r="M448" s="8"/>
      <c r="N448" s="8"/>
    </row>
    <row r="449" spans="11:14" ht="15.75" customHeight="1" x14ac:dyDescent="0.3">
      <c r="K449" s="8"/>
      <c r="L449" s="8"/>
      <c r="M449" s="8"/>
      <c r="N449" s="8"/>
    </row>
    <row r="450" spans="11:14" ht="15.75" customHeight="1" x14ac:dyDescent="0.3">
      <c r="K450" s="8"/>
      <c r="L450" s="8"/>
      <c r="M450" s="8"/>
      <c r="N450" s="8"/>
    </row>
    <row r="451" spans="11:14" ht="15.75" customHeight="1" x14ac:dyDescent="0.3">
      <c r="K451" s="8"/>
      <c r="L451" s="8"/>
      <c r="M451" s="8"/>
      <c r="N451" s="8"/>
    </row>
    <row r="452" spans="11:14" ht="15.75" customHeight="1" x14ac:dyDescent="0.3">
      <c r="K452" s="8"/>
      <c r="L452" s="8"/>
      <c r="M452" s="8"/>
      <c r="N452" s="8"/>
    </row>
    <row r="453" spans="11:14" ht="15.75" customHeight="1" x14ac:dyDescent="0.3">
      <c r="K453" s="8"/>
      <c r="L453" s="8"/>
      <c r="M453" s="8"/>
      <c r="N453" s="8"/>
    </row>
    <row r="454" spans="11:14" ht="15.75" customHeight="1" x14ac:dyDescent="0.3">
      <c r="K454" s="8"/>
      <c r="L454" s="8"/>
      <c r="M454" s="8"/>
      <c r="N454" s="8"/>
    </row>
    <row r="455" spans="11:14" ht="15.75" customHeight="1" x14ac:dyDescent="0.3">
      <c r="K455" s="8"/>
      <c r="L455" s="8"/>
      <c r="M455" s="8"/>
      <c r="N455" s="8"/>
    </row>
    <row r="456" spans="11:14" ht="15.75" customHeight="1" x14ac:dyDescent="0.3">
      <c r="K456" s="8"/>
      <c r="L456" s="8"/>
      <c r="M456" s="8"/>
      <c r="N456" s="8"/>
    </row>
    <row r="457" spans="11:14" ht="15.75" customHeight="1" x14ac:dyDescent="0.3">
      <c r="K457" s="8"/>
      <c r="L457" s="8"/>
      <c r="M457" s="8"/>
      <c r="N457" s="8"/>
    </row>
    <row r="458" spans="11:14" ht="15.75" customHeight="1" x14ac:dyDescent="0.3">
      <c r="K458" s="8"/>
      <c r="L458" s="8"/>
      <c r="M458" s="8"/>
      <c r="N458" s="8"/>
    </row>
    <row r="459" spans="11:14" ht="15.75" customHeight="1" x14ac:dyDescent="0.3">
      <c r="K459" s="8"/>
      <c r="L459" s="8"/>
      <c r="M459" s="8"/>
      <c r="N459" s="8"/>
    </row>
    <row r="460" spans="11:14" ht="15.75" customHeight="1" x14ac:dyDescent="0.3">
      <c r="K460" s="8"/>
      <c r="L460" s="8"/>
      <c r="M460" s="8"/>
      <c r="N460" s="8"/>
    </row>
    <row r="461" spans="11:14" ht="15.75" customHeight="1" x14ac:dyDescent="0.3">
      <c r="K461" s="8"/>
      <c r="L461" s="8"/>
      <c r="M461" s="8"/>
      <c r="N461" s="8"/>
    </row>
    <row r="462" spans="11:14" ht="15.75" customHeight="1" x14ac:dyDescent="0.3">
      <c r="K462" s="8"/>
      <c r="L462" s="8"/>
      <c r="M462" s="8"/>
      <c r="N462" s="8"/>
    </row>
    <row r="463" spans="11:14" ht="15.75" customHeight="1" x14ac:dyDescent="0.3">
      <c r="K463" s="8"/>
      <c r="L463" s="8"/>
      <c r="M463" s="8"/>
      <c r="N463" s="8"/>
    </row>
    <row r="464" spans="11:14" ht="15.75" customHeight="1" x14ac:dyDescent="0.3">
      <c r="K464" s="8"/>
      <c r="L464" s="8"/>
      <c r="M464" s="8"/>
      <c r="N464" s="8"/>
    </row>
    <row r="465" spans="11:14" ht="15.75" customHeight="1" x14ac:dyDescent="0.3">
      <c r="K465" s="8"/>
      <c r="L465" s="8"/>
      <c r="M465" s="8"/>
      <c r="N465" s="8"/>
    </row>
    <row r="466" spans="11:14" ht="15.75" customHeight="1" x14ac:dyDescent="0.3">
      <c r="K466" s="8"/>
      <c r="L466" s="8"/>
      <c r="M466" s="8"/>
      <c r="N466" s="8"/>
    </row>
    <row r="467" spans="11:14" ht="15.75" customHeight="1" x14ac:dyDescent="0.3">
      <c r="K467" s="8"/>
      <c r="L467" s="8"/>
      <c r="M467" s="8"/>
      <c r="N467" s="8"/>
    </row>
    <row r="468" spans="11:14" ht="15.75" customHeight="1" x14ac:dyDescent="0.3">
      <c r="K468" s="8"/>
      <c r="L468" s="8"/>
      <c r="M468" s="8"/>
      <c r="N468" s="8"/>
    </row>
    <row r="469" spans="11:14" ht="15.75" customHeight="1" x14ac:dyDescent="0.3">
      <c r="K469" s="8"/>
      <c r="L469" s="8"/>
      <c r="M469" s="8"/>
      <c r="N469" s="8"/>
    </row>
    <row r="470" spans="11:14" ht="15.75" customHeight="1" x14ac:dyDescent="0.3">
      <c r="K470" s="8"/>
      <c r="L470" s="8"/>
      <c r="M470" s="8"/>
      <c r="N470" s="8"/>
    </row>
    <row r="471" spans="11:14" ht="15.75" customHeight="1" x14ac:dyDescent="0.3">
      <c r="K471" s="8"/>
      <c r="L471" s="8"/>
      <c r="M471" s="8"/>
      <c r="N471" s="8"/>
    </row>
    <row r="472" spans="11:14" ht="15.75" customHeight="1" x14ac:dyDescent="0.3">
      <c r="K472" s="8"/>
      <c r="L472" s="8"/>
      <c r="M472" s="8"/>
      <c r="N472" s="8"/>
    </row>
    <row r="473" spans="11:14" ht="15.75" customHeight="1" x14ac:dyDescent="0.3">
      <c r="K473" s="8"/>
      <c r="L473" s="8"/>
      <c r="M473" s="8"/>
      <c r="N473" s="8"/>
    </row>
    <row r="474" spans="11:14" ht="15.75" customHeight="1" x14ac:dyDescent="0.3">
      <c r="K474" s="8"/>
      <c r="L474" s="8"/>
      <c r="M474" s="8"/>
      <c r="N474" s="8"/>
    </row>
    <row r="475" spans="11:14" ht="15.75" customHeight="1" x14ac:dyDescent="0.3">
      <c r="K475" s="8"/>
      <c r="L475" s="8"/>
      <c r="M475" s="8"/>
      <c r="N475" s="8"/>
    </row>
    <row r="476" spans="11:14" ht="15.75" customHeight="1" x14ac:dyDescent="0.3">
      <c r="K476" s="8"/>
      <c r="L476" s="8"/>
      <c r="M476" s="8"/>
      <c r="N476" s="8"/>
    </row>
    <row r="477" spans="11:14" ht="15.75" customHeight="1" x14ac:dyDescent="0.3">
      <c r="K477" s="8"/>
      <c r="L477" s="8"/>
      <c r="M477" s="8"/>
      <c r="N477" s="8"/>
    </row>
    <row r="478" spans="11:14" ht="15.75" customHeight="1" x14ac:dyDescent="0.3">
      <c r="K478" s="8"/>
      <c r="L478" s="8"/>
      <c r="M478" s="8"/>
      <c r="N478" s="8"/>
    </row>
    <row r="479" spans="11:14" ht="15.75" customHeight="1" x14ac:dyDescent="0.3">
      <c r="K479" s="8"/>
      <c r="L479" s="8"/>
      <c r="M479" s="8"/>
      <c r="N479" s="8"/>
    </row>
    <row r="480" spans="11:14" ht="15.75" customHeight="1" x14ac:dyDescent="0.3">
      <c r="K480" s="8"/>
      <c r="L480" s="8"/>
      <c r="M480" s="8"/>
      <c r="N480" s="8"/>
    </row>
    <row r="481" spans="11:14" ht="15.75" customHeight="1" x14ac:dyDescent="0.3">
      <c r="K481" s="8"/>
      <c r="L481" s="8"/>
      <c r="M481" s="8"/>
      <c r="N481" s="8"/>
    </row>
    <row r="482" spans="11:14" ht="15.75" customHeight="1" x14ac:dyDescent="0.3">
      <c r="K482" s="8"/>
      <c r="L482" s="8"/>
      <c r="M482" s="8"/>
      <c r="N482" s="8"/>
    </row>
    <row r="483" spans="11:14" ht="15.75" customHeight="1" x14ac:dyDescent="0.3">
      <c r="K483" s="8"/>
      <c r="L483" s="8"/>
      <c r="M483" s="8"/>
      <c r="N483" s="8"/>
    </row>
    <row r="484" spans="11:14" ht="15.75" customHeight="1" x14ac:dyDescent="0.3">
      <c r="K484" s="8"/>
      <c r="L484" s="8"/>
      <c r="M484" s="8"/>
      <c r="N484" s="8"/>
    </row>
    <row r="485" spans="11:14" ht="15.75" customHeight="1" x14ac:dyDescent="0.3">
      <c r="K485" s="8"/>
      <c r="L485" s="8"/>
      <c r="M485" s="8"/>
      <c r="N485" s="8"/>
    </row>
    <row r="486" spans="11:14" ht="15.75" customHeight="1" x14ac:dyDescent="0.3">
      <c r="K486" s="8"/>
      <c r="L486" s="8"/>
      <c r="M486" s="8"/>
      <c r="N486" s="8"/>
    </row>
    <row r="487" spans="11:14" ht="15.75" customHeight="1" x14ac:dyDescent="0.3">
      <c r="K487" s="8"/>
      <c r="L487" s="8"/>
      <c r="M487" s="8"/>
      <c r="N487" s="8"/>
    </row>
    <row r="488" spans="11:14" ht="15.75" customHeight="1" x14ac:dyDescent="0.3">
      <c r="K488" s="8"/>
      <c r="L488" s="8"/>
      <c r="M488" s="8"/>
      <c r="N488" s="8"/>
    </row>
    <row r="489" spans="11:14" ht="15.75" customHeight="1" x14ac:dyDescent="0.3">
      <c r="K489" s="8"/>
      <c r="L489" s="8"/>
      <c r="M489" s="8"/>
      <c r="N489" s="8"/>
    </row>
    <row r="490" spans="11:14" ht="15.75" customHeight="1" x14ac:dyDescent="0.3">
      <c r="K490" s="8"/>
      <c r="L490" s="8"/>
      <c r="M490" s="8"/>
      <c r="N490" s="8"/>
    </row>
    <row r="491" spans="11:14" ht="15.75" customHeight="1" x14ac:dyDescent="0.3">
      <c r="K491" s="8"/>
      <c r="L491" s="8"/>
      <c r="M491" s="8"/>
      <c r="N491" s="8"/>
    </row>
    <row r="492" spans="11:14" ht="15.75" customHeight="1" x14ac:dyDescent="0.3">
      <c r="K492" s="8"/>
      <c r="L492" s="8"/>
      <c r="M492" s="8"/>
      <c r="N492" s="8"/>
    </row>
    <row r="493" spans="11:14" ht="15.75" customHeight="1" x14ac:dyDescent="0.3">
      <c r="K493" s="8"/>
      <c r="L493" s="8"/>
      <c r="M493" s="8"/>
      <c r="N493" s="8"/>
    </row>
    <row r="494" spans="11:14" ht="15.75" customHeight="1" x14ac:dyDescent="0.3">
      <c r="K494" s="8"/>
      <c r="L494" s="8"/>
      <c r="M494" s="8"/>
      <c r="N494" s="8"/>
    </row>
    <row r="495" spans="11:14" ht="15.75" customHeight="1" x14ac:dyDescent="0.3">
      <c r="K495" s="8"/>
      <c r="L495" s="8"/>
      <c r="M495" s="8"/>
      <c r="N495" s="8"/>
    </row>
    <row r="496" spans="11:14" ht="15.75" customHeight="1" x14ac:dyDescent="0.3">
      <c r="K496" s="8"/>
      <c r="L496" s="8"/>
      <c r="M496" s="8"/>
      <c r="N496" s="8"/>
    </row>
    <row r="497" spans="11:14" ht="15.75" customHeight="1" x14ac:dyDescent="0.3">
      <c r="K497" s="8"/>
      <c r="L497" s="8"/>
      <c r="M497" s="8"/>
      <c r="N497" s="8"/>
    </row>
    <row r="498" spans="11:14" ht="15.75" customHeight="1" x14ac:dyDescent="0.3">
      <c r="K498" s="8"/>
      <c r="L498" s="8"/>
      <c r="M498" s="8"/>
      <c r="N498" s="8"/>
    </row>
    <row r="499" spans="11:14" ht="15.75" customHeight="1" x14ac:dyDescent="0.3">
      <c r="K499" s="8"/>
      <c r="L499" s="8"/>
      <c r="M499" s="8"/>
      <c r="N499" s="8"/>
    </row>
    <row r="500" spans="11:14" ht="15.75" customHeight="1" x14ac:dyDescent="0.3">
      <c r="K500" s="8"/>
      <c r="L500" s="8"/>
      <c r="M500" s="8"/>
      <c r="N500" s="8"/>
    </row>
    <row r="501" spans="11:14" ht="15.75" customHeight="1" x14ac:dyDescent="0.3">
      <c r="K501" s="8"/>
      <c r="L501" s="8"/>
      <c r="M501" s="8"/>
      <c r="N501" s="8"/>
    </row>
    <row r="502" spans="11:14" ht="15.75" customHeight="1" x14ac:dyDescent="0.3">
      <c r="K502" s="8"/>
      <c r="L502" s="8"/>
      <c r="M502" s="8"/>
      <c r="N502" s="8"/>
    </row>
    <row r="503" spans="11:14" ht="15.75" customHeight="1" x14ac:dyDescent="0.3">
      <c r="K503" s="8"/>
      <c r="L503" s="8"/>
      <c r="M503" s="8"/>
      <c r="N503" s="8"/>
    </row>
    <row r="504" spans="11:14" ht="15.75" customHeight="1" x14ac:dyDescent="0.3">
      <c r="K504" s="8"/>
      <c r="L504" s="8"/>
      <c r="M504" s="8"/>
      <c r="N504" s="8"/>
    </row>
    <row r="505" spans="11:14" ht="15.75" customHeight="1" x14ac:dyDescent="0.3">
      <c r="K505" s="8"/>
      <c r="L505" s="8"/>
      <c r="M505" s="8"/>
      <c r="N505" s="8"/>
    </row>
    <row r="506" spans="11:14" ht="15.75" customHeight="1" x14ac:dyDescent="0.3">
      <c r="K506" s="8"/>
      <c r="L506" s="8"/>
      <c r="M506" s="8"/>
      <c r="N506" s="8"/>
    </row>
    <row r="507" spans="11:14" ht="15.75" customHeight="1" x14ac:dyDescent="0.3">
      <c r="K507" s="8"/>
      <c r="L507" s="8"/>
      <c r="M507" s="8"/>
      <c r="N507" s="8"/>
    </row>
    <row r="508" spans="11:14" ht="15.75" customHeight="1" x14ac:dyDescent="0.3">
      <c r="K508" s="8"/>
      <c r="L508" s="8"/>
      <c r="M508" s="8"/>
      <c r="N508" s="8"/>
    </row>
    <row r="509" spans="11:14" ht="15.75" customHeight="1" x14ac:dyDescent="0.3">
      <c r="K509" s="8"/>
      <c r="L509" s="8"/>
      <c r="M509" s="8"/>
      <c r="N509" s="8"/>
    </row>
    <row r="510" spans="11:14" ht="15.75" customHeight="1" x14ac:dyDescent="0.3">
      <c r="K510" s="8"/>
      <c r="L510" s="8"/>
      <c r="M510" s="8"/>
      <c r="N510" s="8"/>
    </row>
    <row r="511" spans="11:14" ht="15.75" customHeight="1" x14ac:dyDescent="0.3">
      <c r="K511" s="8"/>
      <c r="L511" s="8"/>
      <c r="M511" s="8"/>
      <c r="N511" s="8"/>
    </row>
    <row r="512" spans="11:14" ht="15.75" customHeight="1" x14ac:dyDescent="0.3">
      <c r="K512" s="8"/>
      <c r="L512" s="8"/>
      <c r="M512" s="8"/>
      <c r="N512" s="8"/>
    </row>
    <row r="513" spans="11:14" ht="15.75" customHeight="1" x14ac:dyDescent="0.3">
      <c r="K513" s="8"/>
      <c r="L513" s="8"/>
      <c r="M513" s="8"/>
      <c r="N513" s="8"/>
    </row>
    <row r="514" spans="11:14" ht="15.75" customHeight="1" x14ac:dyDescent="0.3">
      <c r="K514" s="8"/>
      <c r="L514" s="8"/>
      <c r="M514" s="8"/>
      <c r="N514" s="8"/>
    </row>
    <row r="515" spans="11:14" ht="15.75" customHeight="1" x14ac:dyDescent="0.3">
      <c r="K515" s="8"/>
      <c r="L515" s="8"/>
      <c r="M515" s="8"/>
      <c r="N515" s="8"/>
    </row>
    <row r="516" spans="11:14" ht="15.75" customHeight="1" x14ac:dyDescent="0.3">
      <c r="K516" s="8"/>
      <c r="L516" s="8"/>
      <c r="M516" s="8"/>
      <c r="N516" s="8"/>
    </row>
    <row r="517" spans="11:14" ht="15.75" customHeight="1" x14ac:dyDescent="0.3">
      <c r="K517" s="8"/>
      <c r="L517" s="8"/>
      <c r="M517" s="8"/>
      <c r="N517" s="8"/>
    </row>
    <row r="518" spans="11:14" ht="15.75" customHeight="1" x14ac:dyDescent="0.3">
      <c r="K518" s="8"/>
      <c r="L518" s="8"/>
      <c r="M518" s="8"/>
      <c r="N518" s="8"/>
    </row>
    <row r="519" spans="11:14" ht="15.75" customHeight="1" x14ac:dyDescent="0.3">
      <c r="K519" s="8"/>
      <c r="L519" s="8"/>
      <c r="M519" s="8"/>
      <c r="N519" s="8"/>
    </row>
    <row r="520" spans="11:14" ht="15.75" customHeight="1" x14ac:dyDescent="0.3">
      <c r="K520" s="8"/>
      <c r="L520" s="8"/>
      <c r="M520" s="8"/>
      <c r="N520" s="8"/>
    </row>
    <row r="521" spans="11:14" ht="15.75" customHeight="1" x14ac:dyDescent="0.3">
      <c r="K521" s="8"/>
      <c r="L521" s="8"/>
      <c r="M521" s="8"/>
      <c r="N521" s="8"/>
    </row>
    <row r="522" spans="11:14" ht="15.75" customHeight="1" x14ac:dyDescent="0.3">
      <c r="K522" s="8"/>
      <c r="L522" s="8"/>
      <c r="M522" s="8"/>
      <c r="N522" s="8"/>
    </row>
    <row r="523" spans="11:14" ht="15.75" customHeight="1" x14ac:dyDescent="0.3">
      <c r="K523" s="8"/>
      <c r="L523" s="8"/>
      <c r="M523" s="8"/>
      <c r="N523" s="8"/>
    </row>
    <row r="524" spans="11:14" ht="15.75" customHeight="1" x14ac:dyDescent="0.3">
      <c r="K524" s="8"/>
      <c r="L524" s="8"/>
      <c r="M524" s="8"/>
      <c r="N524" s="8"/>
    </row>
    <row r="525" spans="11:14" ht="15.75" customHeight="1" x14ac:dyDescent="0.3">
      <c r="K525" s="8"/>
      <c r="L525" s="8"/>
      <c r="M525" s="8"/>
      <c r="N525" s="8"/>
    </row>
    <row r="526" spans="11:14" ht="15.75" customHeight="1" x14ac:dyDescent="0.3">
      <c r="K526" s="8"/>
      <c r="L526" s="8"/>
      <c r="M526" s="8"/>
      <c r="N526" s="8"/>
    </row>
    <row r="527" spans="11:14" ht="15.75" customHeight="1" x14ac:dyDescent="0.3">
      <c r="K527" s="8"/>
      <c r="L527" s="8"/>
      <c r="M527" s="8"/>
      <c r="N527" s="8"/>
    </row>
    <row r="528" spans="11:14" ht="15.75" customHeight="1" x14ac:dyDescent="0.3">
      <c r="K528" s="8"/>
      <c r="L528" s="8"/>
      <c r="M528" s="8"/>
      <c r="N528" s="8"/>
    </row>
    <row r="529" spans="11:14" ht="15.75" customHeight="1" x14ac:dyDescent="0.3">
      <c r="K529" s="8"/>
      <c r="L529" s="8"/>
      <c r="M529" s="8"/>
      <c r="N529" s="8"/>
    </row>
    <row r="530" spans="11:14" ht="15.75" customHeight="1" x14ac:dyDescent="0.3">
      <c r="K530" s="8"/>
      <c r="L530" s="8"/>
      <c r="M530" s="8"/>
      <c r="N530" s="8"/>
    </row>
    <row r="531" spans="11:14" ht="15.75" customHeight="1" x14ac:dyDescent="0.3">
      <c r="K531" s="8"/>
      <c r="L531" s="8"/>
      <c r="M531" s="8"/>
      <c r="N531" s="8"/>
    </row>
    <row r="532" spans="11:14" ht="15.75" customHeight="1" x14ac:dyDescent="0.3">
      <c r="K532" s="8"/>
      <c r="L532" s="8"/>
      <c r="M532" s="8"/>
      <c r="N532" s="8"/>
    </row>
    <row r="533" spans="11:14" ht="15.75" customHeight="1" x14ac:dyDescent="0.3">
      <c r="K533" s="8"/>
      <c r="L533" s="8"/>
      <c r="M533" s="8"/>
      <c r="N533" s="8"/>
    </row>
    <row r="534" spans="11:14" ht="15.75" customHeight="1" x14ac:dyDescent="0.3">
      <c r="K534" s="8"/>
      <c r="L534" s="8"/>
      <c r="M534" s="8"/>
      <c r="N534" s="8"/>
    </row>
    <row r="535" spans="11:14" ht="15.75" customHeight="1" x14ac:dyDescent="0.3">
      <c r="K535" s="8"/>
      <c r="L535" s="8"/>
      <c r="M535" s="8"/>
      <c r="N535" s="8"/>
    </row>
    <row r="536" spans="11:14" ht="15.75" customHeight="1" x14ac:dyDescent="0.3">
      <c r="K536" s="8"/>
      <c r="L536" s="8"/>
      <c r="M536" s="8"/>
      <c r="N536" s="8"/>
    </row>
    <row r="537" spans="11:14" ht="15.75" customHeight="1" x14ac:dyDescent="0.3">
      <c r="K537" s="8"/>
      <c r="L537" s="8"/>
      <c r="M537" s="8"/>
      <c r="N537" s="8"/>
    </row>
    <row r="538" spans="11:14" ht="15.75" customHeight="1" x14ac:dyDescent="0.3">
      <c r="K538" s="8"/>
      <c r="L538" s="8"/>
      <c r="M538" s="8"/>
      <c r="N538" s="8"/>
    </row>
    <row r="539" spans="11:14" ht="15.75" customHeight="1" x14ac:dyDescent="0.3">
      <c r="K539" s="8"/>
      <c r="L539" s="8"/>
      <c r="M539" s="8"/>
      <c r="N539" s="8"/>
    </row>
    <row r="540" spans="11:14" ht="15.75" customHeight="1" x14ac:dyDescent="0.3">
      <c r="K540" s="8"/>
      <c r="L540" s="8"/>
      <c r="M540" s="8"/>
      <c r="N540" s="8"/>
    </row>
    <row r="541" spans="11:14" ht="15.75" customHeight="1" x14ac:dyDescent="0.3">
      <c r="K541" s="8"/>
      <c r="L541" s="8"/>
      <c r="M541" s="8"/>
      <c r="N541" s="8"/>
    </row>
    <row r="542" spans="11:14" ht="15.75" customHeight="1" x14ac:dyDescent="0.3">
      <c r="K542" s="8"/>
      <c r="L542" s="8"/>
      <c r="M542" s="8"/>
      <c r="N542" s="8"/>
    </row>
    <row r="543" spans="11:14" ht="15.75" customHeight="1" x14ac:dyDescent="0.3">
      <c r="K543" s="8"/>
      <c r="L543" s="8"/>
      <c r="M543" s="8"/>
      <c r="N543" s="8"/>
    </row>
    <row r="544" spans="11:14" ht="15.75" customHeight="1" x14ac:dyDescent="0.3">
      <c r="K544" s="8"/>
      <c r="L544" s="8"/>
      <c r="M544" s="8"/>
      <c r="N544" s="8"/>
    </row>
    <row r="545" spans="11:14" ht="15.75" customHeight="1" x14ac:dyDescent="0.3">
      <c r="K545" s="8"/>
      <c r="L545" s="8"/>
      <c r="M545" s="8"/>
      <c r="N545" s="8"/>
    </row>
    <row r="546" spans="11:14" ht="15.75" customHeight="1" x14ac:dyDescent="0.3">
      <c r="K546" s="8"/>
      <c r="L546" s="8"/>
      <c r="M546" s="8"/>
      <c r="N546" s="8"/>
    </row>
    <row r="547" spans="11:14" ht="15.75" customHeight="1" x14ac:dyDescent="0.3">
      <c r="K547" s="8"/>
      <c r="L547" s="8"/>
      <c r="M547" s="8"/>
      <c r="N547" s="8"/>
    </row>
    <row r="548" spans="11:14" ht="15.75" customHeight="1" x14ac:dyDescent="0.3">
      <c r="K548" s="8"/>
      <c r="L548" s="8"/>
      <c r="M548" s="8"/>
      <c r="N548" s="8"/>
    </row>
    <row r="549" spans="11:14" ht="15.75" customHeight="1" x14ac:dyDescent="0.3">
      <c r="K549" s="8"/>
      <c r="L549" s="8"/>
      <c r="M549" s="8"/>
      <c r="N549" s="8"/>
    </row>
    <row r="550" spans="11:14" ht="15.75" customHeight="1" x14ac:dyDescent="0.3">
      <c r="K550" s="8"/>
      <c r="L550" s="8"/>
      <c r="M550" s="8"/>
      <c r="N550" s="8"/>
    </row>
    <row r="551" spans="11:14" ht="15.75" customHeight="1" x14ac:dyDescent="0.3">
      <c r="K551" s="8"/>
      <c r="L551" s="8"/>
      <c r="M551" s="8"/>
      <c r="N551" s="8"/>
    </row>
    <row r="552" spans="11:14" ht="15.75" customHeight="1" x14ac:dyDescent="0.3">
      <c r="K552" s="8"/>
      <c r="L552" s="8"/>
      <c r="M552" s="8"/>
      <c r="N552" s="8"/>
    </row>
    <row r="553" spans="11:14" ht="15.75" customHeight="1" x14ac:dyDescent="0.3">
      <c r="K553" s="8"/>
      <c r="L553" s="8"/>
      <c r="M553" s="8"/>
      <c r="N553" s="8"/>
    </row>
    <row r="554" spans="11:14" ht="15.75" customHeight="1" x14ac:dyDescent="0.3">
      <c r="K554" s="8"/>
      <c r="L554" s="8"/>
      <c r="M554" s="8"/>
      <c r="N554" s="8"/>
    </row>
    <row r="555" spans="11:14" ht="15.75" customHeight="1" x14ac:dyDescent="0.3">
      <c r="K555" s="8"/>
      <c r="L555" s="8"/>
      <c r="M555" s="8"/>
      <c r="N555" s="8"/>
    </row>
    <row r="556" spans="11:14" ht="15.75" customHeight="1" x14ac:dyDescent="0.3">
      <c r="K556" s="8"/>
      <c r="L556" s="8"/>
      <c r="M556" s="8"/>
      <c r="N556" s="8"/>
    </row>
    <row r="557" spans="11:14" ht="15.75" customHeight="1" x14ac:dyDescent="0.3">
      <c r="K557" s="8"/>
      <c r="L557" s="8"/>
      <c r="M557" s="8"/>
      <c r="N557" s="8"/>
    </row>
    <row r="558" spans="11:14" ht="15.75" customHeight="1" x14ac:dyDescent="0.3">
      <c r="K558" s="8"/>
      <c r="L558" s="8"/>
      <c r="M558" s="8"/>
      <c r="N558" s="8"/>
    </row>
    <row r="559" spans="11:14" ht="15.75" customHeight="1" x14ac:dyDescent="0.3">
      <c r="K559" s="8"/>
      <c r="L559" s="8"/>
      <c r="M559" s="8"/>
      <c r="N559" s="8"/>
    </row>
    <row r="560" spans="11:14" ht="15.75" customHeight="1" x14ac:dyDescent="0.3">
      <c r="K560" s="8"/>
      <c r="L560" s="8"/>
      <c r="M560" s="8"/>
      <c r="N560" s="8"/>
    </row>
    <row r="561" spans="11:14" ht="15.75" customHeight="1" x14ac:dyDescent="0.3">
      <c r="K561" s="8"/>
      <c r="L561" s="8"/>
      <c r="M561" s="8"/>
      <c r="N561" s="8"/>
    </row>
    <row r="562" spans="11:14" ht="15.75" customHeight="1" x14ac:dyDescent="0.3">
      <c r="K562" s="8"/>
      <c r="L562" s="8"/>
      <c r="M562" s="8"/>
      <c r="N562" s="8"/>
    </row>
    <row r="563" spans="11:14" ht="15.75" customHeight="1" x14ac:dyDescent="0.3">
      <c r="K563" s="8"/>
      <c r="L563" s="8"/>
      <c r="M563" s="8"/>
      <c r="N563" s="8"/>
    </row>
    <row r="564" spans="11:14" ht="15.75" customHeight="1" x14ac:dyDescent="0.3">
      <c r="K564" s="8"/>
      <c r="L564" s="8"/>
      <c r="M564" s="8"/>
      <c r="N564" s="8"/>
    </row>
    <row r="565" spans="11:14" ht="15.75" customHeight="1" x14ac:dyDescent="0.3">
      <c r="K565" s="8"/>
      <c r="L565" s="8"/>
      <c r="M565" s="8"/>
      <c r="N565" s="8"/>
    </row>
    <row r="566" spans="11:14" ht="15.75" customHeight="1" x14ac:dyDescent="0.3">
      <c r="K566" s="8"/>
      <c r="L566" s="8"/>
      <c r="M566" s="8"/>
      <c r="N566" s="8"/>
    </row>
    <row r="567" spans="11:14" ht="15.75" customHeight="1" x14ac:dyDescent="0.3">
      <c r="K567" s="8"/>
      <c r="L567" s="8"/>
      <c r="M567" s="8"/>
      <c r="N567" s="8"/>
    </row>
    <row r="568" spans="11:14" ht="15.75" customHeight="1" x14ac:dyDescent="0.3">
      <c r="K568" s="8"/>
      <c r="L568" s="8"/>
      <c r="M568" s="8"/>
      <c r="N568" s="8"/>
    </row>
    <row r="569" spans="11:14" ht="15.75" customHeight="1" x14ac:dyDescent="0.3">
      <c r="K569" s="8"/>
      <c r="L569" s="8"/>
      <c r="M569" s="8"/>
      <c r="N569" s="8"/>
    </row>
    <row r="570" spans="11:14" ht="15.75" customHeight="1" x14ac:dyDescent="0.3">
      <c r="K570" s="8"/>
      <c r="L570" s="8"/>
      <c r="M570" s="8"/>
      <c r="N570" s="8"/>
    </row>
    <row r="571" spans="11:14" ht="15.75" customHeight="1" x14ac:dyDescent="0.3">
      <c r="K571" s="8"/>
      <c r="L571" s="8"/>
      <c r="M571" s="8"/>
      <c r="N571" s="8"/>
    </row>
    <row r="572" spans="11:14" ht="15.75" customHeight="1" x14ac:dyDescent="0.3">
      <c r="K572" s="8"/>
      <c r="L572" s="8"/>
      <c r="M572" s="8"/>
      <c r="N572" s="8"/>
    </row>
    <row r="573" spans="11:14" ht="15.75" customHeight="1" x14ac:dyDescent="0.3">
      <c r="K573" s="8"/>
      <c r="L573" s="8"/>
      <c r="M573" s="8"/>
      <c r="N573" s="8"/>
    </row>
    <row r="574" spans="11:14" ht="15.75" customHeight="1" x14ac:dyDescent="0.3">
      <c r="K574" s="8"/>
      <c r="L574" s="8"/>
      <c r="M574" s="8"/>
      <c r="N574" s="8"/>
    </row>
    <row r="575" spans="11:14" ht="15.75" customHeight="1" x14ac:dyDescent="0.3">
      <c r="K575" s="8"/>
      <c r="L575" s="8"/>
      <c r="M575" s="8"/>
      <c r="N575" s="8"/>
    </row>
    <row r="576" spans="11:14" ht="15.75" customHeight="1" x14ac:dyDescent="0.3">
      <c r="K576" s="8"/>
      <c r="L576" s="8"/>
      <c r="M576" s="8"/>
      <c r="N576" s="8"/>
    </row>
    <row r="577" spans="11:14" ht="15.75" customHeight="1" x14ac:dyDescent="0.3">
      <c r="K577" s="8"/>
      <c r="L577" s="8"/>
      <c r="M577" s="8"/>
      <c r="N577" s="8"/>
    </row>
    <row r="578" spans="11:14" ht="15.75" customHeight="1" x14ac:dyDescent="0.3">
      <c r="K578" s="8"/>
      <c r="L578" s="8"/>
      <c r="M578" s="8"/>
      <c r="N578" s="8"/>
    </row>
    <row r="579" spans="11:14" ht="15.75" customHeight="1" x14ac:dyDescent="0.3">
      <c r="K579" s="8"/>
      <c r="L579" s="8"/>
      <c r="M579" s="8"/>
      <c r="N579" s="8"/>
    </row>
    <row r="580" spans="11:14" ht="15.75" customHeight="1" x14ac:dyDescent="0.3">
      <c r="K580" s="8"/>
      <c r="L580" s="8"/>
      <c r="M580" s="8"/>
      <c r="N580" s="8"/>
    </row>
    <row r="581" spans="11:14" ht="15.75" customHeight="1" x14ac:dyDescent="0.3">
      <c r="K581" s="8"/>
      <c r="L581" s="8"/>
      <c r="M581" s="8"/>
      <c r="N581" s="8"/>
    </row>
    <row r="582" spans="11:14" ht="15.75" customHeight="1" x14ac:dyDescent="0.3">
      <c r="K582" s="8"/>
      <c r="L582" s="8"/>
      <c r="M582" s="8"/>
      <c r="N582" s="8"/>
    </row>
    <row r="583" spans="11:14" ht="15.75" customHeight="1" x14ac:dyDescent="0.3">
      <c r="K583" s="8"/>
      <c r="L583" s="8"/>
      <c r="M583" s="8"/>
      <c r="N583" s="8"/>
    </row>
    <row r="584" spans="11:14" ht="15.75" customHeight="1" x14ac:dyDescent="0.3">
      <c r="K584" s="8"/>
      <c r="L584" s="8"/>
      <c r="M584" s="8"/>
      <c r="N584" s="8"/>
    </row>
    <row r="585" spans="11:14" ht="15.75" customHeight="1" x14ac:dyDescent="0.3">
      <c r="K585" s="8"/>
      <c r="L585" s="8"/>
      <c r="M585" s="8"/>
      <c r="N585" s="8"/>
    </row>
    <row r="586" spans="11:14" ht="15.75" customHeight="1" x14ac:dyDescent="0.3">
      <c r="K586" s="8"/>
      <c r="L586" s="8"/>
      <c r="M586" s="8"/>
      <c r="N586" s="8"/>
    </row>
    <row r="587" spans="11:14" ht="15.75" customHeight="1" x14ac:dyDescent="0.3">
      <c r="K587" s="8"/>
      <c r="L587" s="8"/>
      <c r="M587" s="8"/>
      <c r="N587" s="8"/>
    </row>
    <row r="588" spans="11:14" ht="15.75" customHeight="1" x14ac:dyDescent="0.3">
      <c r="K588" s="8"/>
      <c r="L588" s="8"/>
      <c r="M588" s="8"/>
      <c r="N588" s="8"/>
    </row>
    <row r="589" spans="11:14" ht="15.75" customHeight="1" x14ac:dyDescent="0.3">
      <c r="K589" s="8"/>
      <c r="L589" s="8"/>
      <c r="M589" s="8"/>
      <c r="N589" s="8"/>
    </row>
    <row r="590" spans="11:14" ht="15.75" customHeight="1" x14ac:dyDescent="0.3">
      <c r="K590" s="8"/>
      <c r="L590" s="8"/>
      <c r="M590" s="8"/>
      <c r="N590" s="8"/>
    </row>
    <row r="591" spans="11:14" ht="15.75" customHeight="1" x14ac:dyDescent="0.3">
      <c r="K591" s="8"/>
      <c r="L591" s="8"/>
      <c r="M591" s="8"/>
      <c r="N591" s="8"/>
    </row>
    <row r="592" spans="11:14" ht="15.75" customHeight="1" x14ac:dyDescent="0.3">
      <c r="K592" s="8"/>
      <c r="L592" s="8"/>
      <c r="M592" s="8"/>
      <c r="N592" s="8"/>
    </row>
    <row r="593" spans="11:14" ht="15.75" customHeight="1" x14ac:dyDescent="0.3">
      <c r="K593" s="8"/>
      <c r="L593" s="8"/>
      <c r="M593" s="8"/>
      <c r="N593" s="8"/>
    </row>
    <row r="594" spans="11:14" ht="15.75" customHeight="1" x14ac:dyDescent="0.3">
      <c r="K594" s="8"/>
      <c r="L594" s="8"/>
      <c r="M594" s="8"/>
      <c r="N594" s="8"/>
    </row>
    <row r="595" spans="11:14" ht="15.75" customHeight="1" x14ac:dyDescent="0.3">
      <c r="K595" s="8"/>
      <c r="L595" s="8"/>
      <c r="M595" s="8"/>
      <c r="N595" s="8"/>
    </row>
    <row r="596" spans="11:14" ht="15.75" customHeight="1" x14ac:dyDescent="0.3">
      <c r="K596" s="8"/>
      <c r="L596" s="8"/>
      <c r="M596" s="8"/>
      <c r="N596" s="8"/>
    </row>
    <row r="597" spans="11:14" ht="15.75" customHeight="1" x14ac:dyDescent="0.3">
      <c r="K597" s="8"/>
      <c r="L597" s="8"/>
      <c r="M597" s="8"/>
      <c r="N597" s="8"/>
    </row>
    <row r="598" spans="11:14" ht="15.75" customHeight="1" x14ac:dyDescent="0.3">
      <c r="K598" s="8"/>
      <c r="L598" s="8"/>
      <c r="M598" s="8"/>
      <c r="N598" s="8"/>
    </row>
    <row r="599" spans="11:14" ht="15.75" customHeight="1" x14ac:dyDescent="0.3">
      <c r="K599" s="8"/>
      <c r="L599" s="8"/>
      <c r="M599" s="8"/>
      <c r="N599" s="8"/>
    </row>
    <row r="600" spans="11:14" ht="15.75" customHeight="1" x14ac:dyDescent="0.3">
      <c r="K600" s="8"/>
      <c r="L600" s="8"/>
      <c r="M600" s="8"/>
      <c r="N600" s="8"/>
    </row>
    <row r="601" spans="11:14" ht="15.75" customHeight="1" x14ac:dyDescent="0.3">
      <c r="K601" s="8"/>
      <c r="L601" s="8"/>
      <c r="M601" s="8"/>
      <c r="N601" s="8"/>
    </row>
    <row r="602" spans="11:14" ht="15.75" customHeight="1" x14ac:dyDescent="0.3">
      <c r="K602" s="8"/>
      <c r="L602" s="8"/>
      <c r="M602" s="8"/>
      <c r="N602" s="8"/>
    </row>
    <row r="603" spans="11:14" ht="15.75" customHeight="1" x14ac:dyDescent="0.3">
      <c r="K603" s="8"/>
      <c r="L603" s="8"/>
      <c r="M603" s="8"/>
      <c r="N603" s="8"/>
    </row>
    <row r="604" spans="11:14" ht="15.75" customHeight="1" x14ac:dyDescent="0.3">
      <c r="K604" s="8"/>
      <c r="L604" s="8"/>
      <c r="M604" s="8"/>
      <c r="N604" s="8"/>
    </row>
    <row r="605" spans="11:14" ht="15.75" customHeight="1" x14ac:dyDescent="0.3">
      <c r="K605" s="8"/>
      <c r="L605" s="8"/>
      <c r="M605" s="8"/>
      <c r="N605" s="8"/>
    </row>
    <row r="606" spans="11:14" ht="15.75" customHeight="1" x14ac:dyDescent="0.3">
      <c r="K606" s="8"/>
      <c r="L606" s="8"/>
      <c r="M606" s="8"/>
      <c r="N606" s="8"/>
    </row>
    <row r="607" spans="11:14" ht="15.75" customHeight="1" x14ac:dyDescent="0.3">
      <c r="K607" s="8"/>
      <c r="L607" s="8"/>
      <c r="M607" s="8"/>
      <c r="N607" s="8"/>
    </row>
    <row r="608" spans="11:14" ht="15.75" customHeight="1" x14ac:dyDescent="0.3">
      <c r="K608" s="8"/>
      <c r="L608" s="8"/>
      <c r="M608" s="8"/>
      <c r="N608" s="8"/>
    </row>
    <row r="609" spans="11:14" ht="15.75" customHeight="1" x14ac:dyDescent="0.3">
      <c r="K609" s="8"/>
      <c r="L609" s="8"/>
      <c r="M609" s="8"/>
      <c r="N609" s="8"/>
    </row>
    <row r="610" spans="11:14" ht="15.75" customHeight="1" x14ac:dyDescent="0.3">
      <c r="K610" s="8"/>
      <c r="L610" s="8"/>
      <c r="M610" s="8"/>
      <c r="N610" s="8"/>
    </row>
    <row r="611" spans="11:14" ht="15.75" customHeight="1" x14ac:dyDescent="0.3">
      <c r="K611" s="8"/>
      <c r="L611" s="8"/>
      <c r="M611" s="8"/>
      <c r="N611" s="8"/>
    </row>
    <row r="612" spans="11:14" ht="15.75" customHeight="1" x14ac:dyDescent="0.3">
      <c r="K612" s="8"/>
      <c r="L612" s="8"/>
      <c r="M612" s="8"/>
      <c r="N612" s="8"/>
    </row>
    <row r="613" spans="11:14" ht="15.75" customHeight="1" x14ac:dyDescent="0.3">
      <c r="K613" s="8"/>
      <c r="L613" s="8"/>
      <c r="M613" s="8"/>
      <c r="N613" s="8"/>
    </row>
    <row r="614" spans="11:14" ht="15.75" customHeight="1" x14ac:dyDescent="0.3">
      <c r="K614" s="8"/>
      <c r="L614" s="8"/>
      <c r="M614" s="8"/>
      <c r="N614" s="8"/>
    </row>
    <row r="615" spans="11:14" ht="15.75" customHeight="1" x14ac:dyDescent="0.3">
      <c r="K615" s="8"/>
      <c r="L615" s="8"/>
      <c r="M615" s="8"/>
      <c r="N615" s="8"/>
    </row>
    <row r="616" spans="11:14" ht="15.75" customHeight="1" x14ac:dyDescent="0.3">
      <c r="K616" s="8"/>
      <c r="L616" s="8"/>
      <c r="M616" s="8"/>
      <c r="N616" s="8"/>
    </row>
    <row r="617" spans="11:14" ht="15.75" customHeight="1" x14ac:dyDescent="0.3">
      <c r="K617" s="8"/>
      <c r="L617" s="8"/>
      <c r="M617" s="8"/>
      <c r="N617" s="8"/>
    </row>
    <row r="618" spans="11:14" ht="15.75" customHeight="1" x14ac:dyDescent="0.3">
      <c r="K618" s="8"/>
      <c r="L618" s="8"/>
      <c r="M618" s="8"/>
      <c r="N618" s="8"/>
    </row>
    <row r="619" spans="11:14" ht="15.75" customHeight="1" x14ac:dyDescent="0.3">
      <c r="K619" s="8"/>
      <c r="L619" s="8"/>
      <c r="M619" s="8"/>
      <c r="N619" s="8"/>
    </row>
    <row r="620" spans="11:14" ht="15.75" customHeight="1" x14ac:dyDescent="0.3">
      <c r="K620" s="8"/>
      <c r="L620" s="8"/>
      <c r="M620" s="8"/>
      <c r="N620" s="8"/>
    </row>
    <row r="621" spans="11:14" ht="15.75" customHeight="1" x14ac:dyDescent="0.3">
      <c r="K621" s="8"/>
      <c r="L621" s="8"/>
      <c r="M621" s="8"/>
      <c r="N621" s="8"/>
    </row>
    <row r="622" spans="11:14" ht="15.75" customHeight="1" x14ac:dyDescent="0.3">
      <c r="K622" s="8"/>
      <c r="L622" s="8"/>
      <c r="M622" s="8"/>
      <c r="N622" s="8"/>
    </row>
    <row r="623" spans="11:14" ht="15.75" customHeight="1" x14ac:dyDescent="0.3">
      <c r="K623" s="8"/>
      <c r="L623" s="8"/>
      <c r="M623" s="8"/>
      <c r="N623" s="8"/>
    </row>
    <row r="624" spans="11:14" ht="15.75" customHeight="1" x14ac:dyDescent="0.3">
      <c r="K624" s="8"/>
      <c r="L624" s="8"/>
      <c r="M624" s="8"/>
      <c r="N624" s="8"/>
    </row>
    <row r="625" spans="11:14" ht="15.75" customHeight="1" x14ac:dyDescent="0.3">
      <c r="K625" s="8"/>
      <c r="L625" s="8"/>
      <c r="M625" s="8"/>
      <c r="N625" s="8"/>
    </row>
    <row r="626" spans="11:14" ht="15.75" customHeight="1" x14ac:dyDescent="0.3">
      <c r="K626" s="8"/>
      <c r="L626" s="8"/>
      <c r="M626" s="8"/>
      <c r="N626" s="8"/>
    </row>
    <row r="627" spans="11:14" ht="15.75" customHeight="1" x14ac:dyDescent="0.3">
      <c r="K627" s="8"/>
      <c r="L627" s="8"/>
      <c r="M627" s="8"/>
      <c r="N627" s="8"/>
    </row>
    <row r="628" spans="11:14" ht="15.75" customHeight="1" x14ac:dyDescent="0.3">
      <c r="K628" s="8"/>
      <c r="L628" s="8"/>
      <c r="M628" s="8"/>
      <c r="N628" s="8"/>
    </row>
    <row r="629" spans="11:14" ht="15.75" customHeight="1" x14ac:dyDescent="0.3">
      <c r="K629" s="8"/>
      <c r="L629" s="8"/>
      <c r="M629" s="8"/>
      <c r="N629" s="8"/>
    </row>
    <row r="630" spans="11:14" ht="15.75" customHeight="1" x14ac:dyDescent="0.3">
      <c r="K630" s="8"/>
      <c r="L630" s="8"/>
      <c r="M630" s="8"/>
      <c r="N630" s="8"/>
    </row>
    <row r="631" spans="11:14" ht="15.75" customHeight="1" x14ac:dyDescent="0.3">
      <c r="K631" s="8"/>
      <c r="L631" s="8"/>
      <c r="M631" s="8"/>
      <c r="N631" s="8"/>
    </row>
    <row r="632" spans="11:14" ht="15.75" customHeight="1" x14ac:dyDescent="0.3">
      <c r="K632" s="8"/>
      <c r="L632" s="8"/>
      <c r="M632" s="8"/>
      <c r="N632" s="8"/>
    </row>
    <row r="633" spans="11:14" ht="15.75" customHeight="1" x14ac:dyDescent="0.3">
      <c r="K633" s="8"/>
      <c r="L633" s="8"/>
      <c r="M633" s="8"/>
      <c r="N633" s="8"/>
    </row>
    <row r="634" spans="11:14" ht="15.75" customHeight="1" x14ac:dyDescent="0.3">
      <c r="K634" s="8"/>
      <c r="L634" s="8"/>
      <c r="M634" s="8"/>
      <c r="N634" s="8"/>
    </row>
    <row r="635" spans="11:14" ht="15.75" customHeight="1" x14ac:dyDescent="0.3">
      <c r="K635" s="8"/>
      <c r="L635" s="8"/>
      <c r="M635" s="8"/>
      <c r="N635" s="8"/>
    </row>
    <row r="636" spans="11:14" ht="15.75" customHeight="1" x14ac:dyDescent="0.3">
      <c r="K636" s="8"/>
      <c r="L636" s="8"/>
      <c r="M636" s="8"/>
      <c r="N636" s="8"/>
    </row>
    <row r="637" spans="11:14" ht="15.75" customHeight="1" x14ac:dyDescent="0.3">
      <c r="K637" s="8"/>
      <c r="L637" s="8"/>
      <c r="M637" s="8"/>
      <c r="N637" s="8"/>
    </row>
    <row r="638" spans="11:14" ht="15.75" customHeight="1" x14ac:dyDescent="0.3">
      <c r="K638" s="8"/>
      <c r="L638" s="8"/>
      <c r="M638" s="8"/>
      <c r="N638" s="8"/>
    </row>
    <row r="639" spans="11:14" ht="15.75" customHeight="1" x14ac:dyDescent="0.3">
      <c r="K639" s="8"/>
      <c r="L639" s="8"/>
      <c r="M639" s="8"/>
      <c r="N639" s="8"/>
    </row>
    <row r="640" spans="11:14" ht="15.75" customHeight="1" x14ac:dyDescent="0.3">
      <c r="K640" s="8"/>
      <c r="L640" s="8"/>
      <c r="M640" s="8"/>
      <c r="N640" s="8"/>
    </row>
    <row r="641" spans="11:14" ht="15.75" customHeight="1" x14ac:dyDescent="0.3">
      <c r="K641" s="8"/>
      <c r="L641" s="8"/>
      <c r="M641" s="8"/>
      <c r="N641" s="8"/>
    </row>
    <row r="642" spans="11:14" ht="15.75" customHeight="1" x14ac:dyDescent="0.3">
      <c r="K642" s="8"/>
      <c r="L642" s="8"/>
      <c r="M642" s="8"/>
      <c r="N642" s="8"/>
    </row>
    <row r="643" spans="11:14" ht="15.75" customHeight="1" x14ac:dyDescent="0.3">
      <c r="K643" s="8"/>
      <c r="L643" s="8"/>
      <c r="M643" s="8"/>
      <c r="N643" s="8"/>
    </row>
    <row r="644" spans="11:14" ht="15.75" customHeight="1" x14ac:dyDescent="0.3">
      <c r="K644" s="8"/>
      <c r="L644" s="8"/>
      <c r="M644" s="8"/>
      <c r="N644" s="8"/>
    </row>
    <row r="645" spans="11:14" ht="15.75" customHeight="1" x14ac:dyDescent="0.3">
      <c r="K645" s="8"/>
      <c r="L645" s="8"/>
      <c r="M645" s="8"/>
      <c r="N645" s="8"/>
    </row>
    <row r="646" spans="11:14" ht="15.75" customHeight="1" x14ac:dyDescent="0.3">
      <c r="K646" s="8"/>
      <c r="L646" s="8"/>
      <c r="M646" s="8"/>
      <c r="N646" s="8"/>
    </row>
    <row r="647" spans="11:14" ht="15.75" customHeight="1" x14ac:dyDescent="0.3">
      <c r="K647" s="8"/>
      <c r="L647" s="8"/>
      <c r="M647" s="8"/>
      <c r="N647" s="8"/>
    </row>
    <row r="648" spans="11:14" ht="15.75" customHeight="1" x14ac:dyDescent="0.3">
      <c r="K648" s="8"/>
      <c r="L648" s="8"/>
      <c r="M648" s="8"/>
      <c r="N648" s="8"/>
    </row>
    <row r="649" spans="11:14" ht="15.75" customHeight="1" x14ac:dyDescent="0.3">
      <c r="K649" s="8"/>
      <c r="L649" s="8"/>
      <c r="M649" s="8"/>
      <c r="N649" s="8"/>
    </row>
    <row r="650" spans="11:14" ht="15.75" customHeight="1" x14ac:dyDescent="0.3">
      <c r="K650" s="8"/>
      <c r="L650" s="8"/>
      <c r="M650" s="8"/>
      <c r="N650" s="8"/>
    </row>
    <row r="651" spans="11:14" ht="15.75" customHeight="1" x14ac:dyDescent="0.3">
      <c r="K651" s="8"/>
      <c r="L651" s="8"/>
      <c r="M651" s="8"/>
      <c r="N651" s="8"/>
    </row>
    <row r="652" spans="11:14" ht="15.75" customHeight="1" x14ac:dyDescent="0.3">
      <c r="K652" s="8"/>
      <c r="L652" s="8"/>
      <c r="M652" s="8"/>
      <c r="N652" s="8"/>
    </row>
    <row r="653" spans="11:14" ht="15.75" customHeight="1" x14ac:dyDescent="0.3">
      <c r="K653" s="8"/>
      <c r="L653" s="8"/>
      <c r="M653" s="8"/>
      <c r="N653" s="8"/>
    </row>
    <row r="654" spans="11:14" ht="15.75" customHeight="1" x14ac:dyDescent="0.3">
      <c r="K654" s="8"/>
      <c r="L654" s="8"/>
      <c r="M654" s="8"/>
      <c r="N654" s="8"/>
    </row>
    <row r="655" spans="11:14" ht="15.75" customHeight="1" x14ac:dyDescent="0.3">
      <c r="K655" s="8"/>
      <c r="L655" s="8"/>
      <c r="M655" s="8"/>
      <c r="N655" s="8"/>
    </row>
    <row r="656" spans="11:14" ht="15.75" customHeight="1" x14ac:dyDescent="0.3">
      <c r="K656" s="8"/>
      <c r="L656" s="8"/>
      <c r="M656" s="8"/>
      <c r="N656" s="8"/>
    </row>
    <row r="657" spans="11:14" ht="15.75" customHeight="1" x14ac:dyDescent="0.3">
      <c r="K657" s="8"/>
      <c r="L657" s="8"/>
      <c r="M657" s="8"/>
      <c r="N657" s="8"/>
    </row>
    <row r="658" spans="11:14" ht="15.75" customHeight="1" x14ac:dyDescent="0.3">
      <c r="K658" s="8"/>
      <c r="L658" s="8"/>
      <c r="M658" s="8"/>
      <c r="N658" s="8"/>
    </row>
    <row r="659" spans="11:14" ht="15.75" customHeight="1" x14ac:dyDescent="0.3">
      <c r="K659" s="8"/>
      <c r="L659" s="8"/>
      <c r="M659" s="8"/>
      <c r="N659" s="8"/>
    </row>
    <row r="660" spans="11:14" ht="15.75" customHeight="1" x14ac:dyDescent="0.3">
      <c r="K660" s="8"/>
      <c r="L660" s="8"/>
      <c r="M660" s="8"/>
      <c r="N660" s="8"/>
    </row>
    <row r="661" spans="11:14" ht="15.75" customHeight="1" x14ac:dyDescent="0.3">
      <c r="K661" s="8"/>
      <c r="L661" s="8"/>
      <c r="M661" s="8"/>
      <c r="N661" s="8"/>
    </row>
    <row r="662" spans="11:14" ht="15.75" customHeight="1" x14ac:dyDescent="0.3">
      <c r="K662" s="8"/>
      <c r="L662" s="8"/>
      <c r="M662" s="8"/>
      <c r="N662" s="8"/>
    </row>
    <row r="663" spans="11:14" ht="15.75" customHeight="1" x14ac:dyDescent="0.3">
      <c r="K663" s="8"/>
      <c r="L663" s="8"/>
      <c r="M663" s="8"/>
      <c r="N663" s="8"/>
    </row>
    <row r="664" spans="11:14" ht="15.75" customHeight="1" x14ac:dyDescent="0.3">
      <c r="K664" s="8"/>
      <c r="L664" s="8"/>
      <c r="M664" s="8"/>
      <c r="N664" s="8"/>
    </row>
    <row r="665" spans="11:14" ht="15.75" customHeight="1" x14ac:dyDescent="0.3">
      <c r="K665" s="8"/>
      <c r="L665" s="8"/>
      <c r="M665" s="8"/>
      <c r="N665" s="8"/>
    </row>
    <row r="666" spans="11:14" ht="15.75" customHeight="1" x14ac:dyDescent="0.3">
      <c r="K666" s="8"/>
      <c r="L666" s="8"/>
      <c r="M666" s="8"/>
      <c r="N666" s="8"/>
    </row>
    <row r="667" spans="11:14" ht="15.75" customHeight="1" x14ac:dyDescent="0.3">
      <c r="K667" s="8"/>
      <c r="L667" s="8"/>
      <c r="M667" s="8"/>
      <c r="N667" s="8"/>
    </row>
    <row r="668" spans="11:14" ht="15.75" customHeight="1" x14ac:dyDescent="0.3">
      <c r="K668" s="8"/>
      <c r="L668" s="8"/>
      <c r="M668" s="8"/>
      <c r="N668" s="8"/>
    </row>
    <row r="669" spans="11:14" ht="15.75" customHeight="1" x14ac:dyDescent="0.3">
      <c r="K669" s="8"/>
      <c r="L669" s="8"/>
      <c r="M669" s="8"/>
      <c r="N669" s="8"/>
    </row>
    <row r="670" spans="11:14" ht="15.75" customHeight="1" x14ac:dyDescent="0.3">
      <c r="K670" s="8"/>
      <c r="L670" s="8"/>
      <c r="M670" s="8"/>
      <c r="N670" s="8"/>
    </row>
    <row r="671" spans="11:14" ht="15.75" customHeight="1" x14ac:dyDescent="0.3">
      <c r="K671" s="8"/>
      <c r="L671" s="8"/>
      <c r="M671" s="8"/>
      <c r="N671" s="8"/>
    </row>
    <row r="672" spans="11:14" ht="15.75" customHeight="1" x14ac:dyDescent="0.3">
      <c r="K672" s="8"/>
      <c r="L672" s="8"/>
      <c r="M672" s="8"/>
      <c r="N672" s="8"/>
    </row>
    <row r="673" spans="11:14" ht="15.75" customHeight="1" x14ac:dyDescent="0.3">
      <c r="K673" s="8"/>
      <c r="L673" s="8"/>
      <c r="M673" s="8"/>
      <c r="N673" s="8"/>
    </row>
    <row r="674" spans="11:14" ht="15.75" customHeight="1" x14ac:dyDescent="0.3">
      <c r="K674" s="8"/>
      <c r="L674" s="8"/>
      <c r="M674" s="8"/>
      <c r="N674" s="8"/>
    </row>
    <row r="675" spans="11:14" ht="15.75" customHeight="1" x14ac:dyDescent="0.3">
      <c r="K675" s="8"/>
      <c r="L675" s="8"/>
      <c r="M675" s="8"/>
      <c r="N675" s="8"/>
    </row>
    <row r="676" spans="11:14" ht="15.75" customHeight="1" x14ac:dyDescent="0.3">
      <c r="K676" s="8"/>
      <c r="L676" s="8"/>
      <c r="M676" s="8"/>
      <c r="N676" s="8"/>
    </row>
    <row r="677" spans="11:14" ht="15.75" customHeight="1" x14ac:dyDescent="0.3">
      <c r="K677" s="8"/>
      <c r="L677" s="8"/>
      <c r="M677" s="8"/>
      <c r="N677" s="8"/>
    </row>
    <row r="678" spans="11:14" ht="15.75" customHeight="1" x14ac:dyDescent="0.3">
      <c r="K678" s="8"/>
      <c r="L678" s="8"/>
      <c r="M678" s="8"/>
      <c r="N678" s="8"/>
    </row>
    <row r="679" spans="11:14" ht="15.75" customHeight="1" x14ac:dyDescent="0.3">
      <c r="K679" s="8"/>
      <c r="L679" s="8"/>
      <c r="M679" s="8"/>
      <c r="N679" s="8"/>
    </row>
    <row r="680" spans="11:14" ht="15.75" customHeight="1" x14ac:dyDescent="0.3">
      <c r="K680" s="8"/>
      <c r="L680" s="8"/>
      <c r="M680" s="8"/>
      <c r="N680" s="8"/>
    </row>
    <row r="681" spans="11:14" ht="15.75" customHeight="1" x14ac:dyDescent="0.3">
      <c r="K681" s="8"/>
      <c r="L681" s="8"/>
      <c r="M681" s="8"/>
      <c r="N681" s="8"/>
    </row>
    <row r="682" spans="11:14" ht="15.75" customHeight="1" x14ac:dyDescent="0.3">
      <c r="K682" s="8"/>
      <c r="L682" s="8"/>
      <c r="M682" s="8"/>
      <c r="N682" s="8"/>
    </row>
    <row r="683" spans="11:14" ht="15.75" customHeight="1" x14ac:dyDescent="0.3">
      <c r="K683" s="8"/>
      <c r="L683" s="8"/>
      <c r="M683" s="8"/>
      <c r="N683" s="8"/>
    </row>
    <row r="684" spans="11:14" ht="15.75" customHeight="1" x14ac:dyDescent="0.3">
      <c r="K684" s="8"/>
      <c r="L684" s="8"/>
      <c r="M684" s="8"/>
      <c r="N684" s="8"/>
    </row>
    <row r="685" spans="11:14" ht="15.75" customHeight="1" x14ac:dyDescent="0.3">
      <c r="K685" s="8"/>
      <c r="L685" s="8"/>
      <c r="M685" s="8"/>
      <c r="N685" s="8"/>
    </row>
    <row r="686" spans="11:14" ht="15.75" customHeight="1" x14ac:dyDescent="0.3">
      <c r="K686" s="8"/>
      <c r="L686" s="8"/>
      <c r="M686" s="8"/>
      <c r="N686" s="8"/>
    </row>
    <row r="687" spans="11:14" ht="15.75" customHeight="1" x14ac:dyDescent="0.3">
      <c r="K687" s="8"/>
      <c r="L687" s="8"/>
      <c r="M687" s="8"/>
      <c r="N687" s="8"/>
    </row>
    <row r="688" spans="11:14" ht="15.75" customHeight="1" x14ac:dyDescent="0.3">
      <c r="K688" s="8"/>
      <c r="L688" s="8"/>
      <c r="M688" s="8"/>
      <c r="N688" s="8"/>
    </row>
    <row r="689" spans="11:14" ht="15.75" customHeight="1" x14ac:dyDescent="0.3">
      <c r="K689" s="8"/>
      <c r="L689" s="8"/>
      <c r="M689" s="8"/>
      <c r="N689" s="8"/>
    </row>
    <row r="690" spans="11:14" ht="15.75" customHeight="1" x14ac:dyDescent="0.3">
      <c r="K690" s="8"/>
      <c r="L690" s="8"/>
      <c r="M690" s="8"/>
      <c r="N690" s="8"/>
    </row>
    <row r="691" spans="11:14" ht="15.75" customHeight="1" x14ac:dyDescent="0.3">
      <c r="K691" s="8"/>
      <c r="L691" s="8"/>
      <c r="M691" s="8"/>
      <c r="N691" s="8"/>
    </row>
    <row r="692" spans="11:14" ht="15.75" customHeight="1" x14ac:dyDescent="0.3">
      <c r="K692" s="8"/>
      <c r="L692" s="8"/>
      <c r="M692" s="8"/>
      <c r="N692" s="8"/>
    </row>
    <row r="693" spans="11:14" ht="15.75" customHeight="1" x14ac:dyDescent="0.3">
      <c r="K693" s="8"/>
      <c r="L693" s="8"/>
      <c r="M693" s="8"/>
      <c r="N693" s="8"/>
    </row>
    <row r="694" spans="11:14" ht="15.75" customHeight="1" x14ac:dyDescent="0.3">
      <c r="K694" s="8"/>
      <c r="L694" s="8"/>
      <c r="M694" s="8"/>
      <c r="N694" s="8"/>
    </row>
    <row r="695" spans="11:14" ht="15.75" customHeight="1" x14ac:dyDescent="0.3">
      <c r="K695" s="8"/>
      <c r="L695" s="8"/>
      <c r="M695" s="8"/>
      <c r="N695" s="8"/>
    </row>
    <row r="696" spans="11:14" ht="15.75" customHeight="1" x14ac:dyDescent="0.3">
      <c r="K696" s="8"/>
      <c r="L696" s="8"/>
      <c r="M696" s="8"/>
      <c r="N696" s="8"/>
    </row>
    <row r="697" spans="11:14" ht="15.75" customHeight="1" x14ac:dyDescent="0.3">
      <c r="K697" s="8"/>
      <c r="L697" s="8"/>
      <c r="M697" s="8"/>
      <c r="N697" s="8"/>
    </row>
    <row r="698" spans="11:14" ht="15.75" customHeight="1" x14ac:dyDescent="0.3">
      <c r="K698" s="8"/>
      <c r="L698" s="8"/>
      <c r="M698" s="8"/>
      <c r="N698" s="8"/>
    </row>
    <row r="699" spans="11:14" ht="15.75" customHeight="1" x14ac:dyDescent="0.3">
      <c r="K699" s="8"/>
      <c r="L699" s="8"/>
      <c r="M699" s="8"/>
      <c r="N699" s="8"/>
    </row>
    <row r="700" spans="11:14" ht="15.75" customHeight="1" x14ac:dyDescent="0.3">
      <c r="K700" s="8"/>
      <c r="L700" s="8"/>
      <c r="M700" s="8"/>
      <c r="N700" s="8"/>
    </row>
    <row r="701" spans="11:14" ht="15.75" customHeight="1" x14ac:dyDescent="0.3">
      <c r="K701" s="8"/>
      <c r="L701" s="8"/>
      <c r="M701" s="8"/>
      <c r="N701" s="8"/>
    </row>
    <row r="702" spans="11:14" ht="15.75" customHeight="1" x14ac:dyDescent="0.3">
      <c r="K702" s="8"/>
      <c r="L702" s="8"/>
      <c r="M702" s="8"/>
      <c r="N702" s="8"/>
    </row>
    <row r="703" spans="11:14" ht="15.75" customHeight="1" x14ac:dyDescent="0.3">
      <c r="K703" s="8"/>
      <c r="L703" s="8"/>
      <c r="M703" s="8"/>
      <c r="N703" s="8"/>
    </row>
    <row r="704" spans="11:14" ht="15.75" customHeight="1" x14ac:dyDescent="0.3">
      <c r="K704" s="8"/>
      <c r="L704" s="8"/>
      <c r="M704" s="8"/>
      <c r="N704" s="8"/>
    </row>
    <row r="705" spans="11:14" ht="15.75" customHeight="1" x14ac:dyDescent="0.3">
      <c r="K705" s="8"/>
      <c r="L705" s="8"/>
      <c r="M705" s="8"/>
      <c r="N705" s="8"/>
    </row>
    <row r="706" spans="11:14" ht="15.75" customHeight="1" x14ac:dyDescent="0.3">
      <c r="K706" s="8"/>
      <c r="L706" s="8"/>
      <c r="M706" s="8"/>
      <c r="N706" s="8"/>
    </row>
    <row r="707" spans="11:14" ht="15.75" customHeight="1" x14ac:dyDescent="0.3">
      <c r="K707" s="8"/>
      <c r="L707" s="8"/>
      <c r="M707" s="8"/>
      <c r="N707" s="8"/>
    </row>
    <row r="708" spans="11:14" ht="15.75" customHeight="1" x14ac:dyDescent="0.3">
      <c r="K708" s="8"/>
      <c r="L708" s="8"/>
      <c r="M708" s="8"/>
      <c r="N708" s="8"/>
    </row>
    <row r="709" spans="11:14" ht="15.75" customHeight="1" x14ac:dyDescent="0.3">
      <c r="K709" s="8"/>
      <c r="L709" s="8"/>
      <c r="M709" s="8"/>
      <c r="N709" s="8"/>
    </row>
    <row r="710" spans="11:14" ht="15.75" customHeight="1" x14ac:dyDescent="0.3">
      <c r="K710" s="8"/>
      <c r="L710" s="8"/>
      <c r="M710" s="8"/>
      <c r="N710" s="8"/>
    </row>
    <row r="711" spans="11:14" ht="15.75" customHeight="1" x14ac:dyDescent="0.3">
      <c r="K711" s="8"/>
      <c r="L711" s="8"/>
      <c r="M711" s="8"/>
      <c r="N711" s="8"/>
    </row>
    <row r="712" spans="11:14" ht="15.75" customHeight="1" x14ac:dyDescent="0.3">
      <c r="K712" s="8"/>
      <c r="L712" s="8"/>
      <c r="M712" s="8"/>
      <c r="N712" s="8"/>
    </row>
    <row r="713" spans="11:14" ht="15.75" customHeight="1" x14ac:dyDescent="0.3">
      <c r="K713" s="8"/>
      <c r="L713" s="8"/>
      <c r="M713" s="8"/>
      <c r="N713" s="8"/>
    </row>
    <row r="714" spans="11:14" ht="15.75" customHeight="1" x14ac:dyDescent="0.3">
      <c r="K714" s="8"/>
      <c r="L714" s="8"/>
      <c r="M714" s="8"/>
      <c r="N714" s="8"/>
    </row>
    <row r="715" spans="11:14" ht="15.75" customHeight="1" x14ac:dyDescent="0.3">
      <c r="K715" s="8"/>
      <c r="L715" s="8"/>
      <c r="M715" s="8"/>
      <c r="N715" s="8"/>
    </row>
    <row r="716" spans="11:14" ht="15.75" customHeight="1" x14ac:dyDescent="0.3">
      <c r="K716" s="8"/>
      <c r="L716" s="8"/>
      <c r="M716" s="8"/>
      <c r="N716" s="8"/>
    </row>
    <row r="717" spans="11:14" ht="15.75" customHeight="1" x14ac:dyDescent="0.3">
      <c r="K717" s="8"/>
      <c r="L717" s="8"/>
      <c r="M717" s="8"/>
      <c r="N717" s="8"/>
    </row>
    <row r="718" spans="11:14" ht="15.75" customHeight="1" x14ac:dyDescent="0.3">
      <c r="K718" s="8"/>
      <c r="L718" s="8"/>
      <c r="M718" s="8"/>
      <c r="N718" s="8"/>
    </row>
    <row r="719" spans="11:14" ht="15.75" customHeight="1" x14ac:dyDescent="0.3">
      <c r="K719" s="8"/>
      <c r="L719" s="8"/>
      <c r="M719" s="8"/>
      <c r="N719" s="8"/>
    </row>
    <row r="720" spans="11:14" ht="15.75" customHeight="1" x14ac:dyDescent="0.3">
      <c r="K720" s="8"/>
      <c r="L720" s="8"/>
      <c r="M720" s="8"/>
      <c r="N720" s="8"/>
    </row>
    <row r="721" spans="11:14" ht="15.75" customHeight="1" x14ac:dyDescent="0.3">
      <c r="K721" s="8"/>
      <c r="L721" s="8"/>
      <c r="M721" s="8"/>
      <c r="N721" s="8"/>
    </row>
    <row r="722" spans="11:14" ht="15.75" customHeight="1" x14ac:dyDescent="0.3">
      <c r="K722" s="8"/>
      <c r="L722" s="8"/>
      <c r="M722" s="8"/>
      <c r="N722" s="8"/>
    </row>
    <row r="723" spans="11:14" ht="15.75" customHeight="1" x14ac:dyDescent="0.3">
      <c r="K723" s="8"/>
      <c r="L723" s="8"/>
      <c r="M723" s="8"/>
      <c r="N723" s="8"/>
    </row>
    <row r="724" spans="11:14" ht="15.75" customHeight="1" x14ac:dyDescent="0.3">
      <c r="K724" s="8"/>
      <c r="L724" s="8"/>
      <c r="M724" s="8"/>
      <c r="N724" s="8"/>
    </row>
    <row r="725" spans="11:14" ht="15.75" customHeight="1" x14ac:dyDescent="0.3">
      <c r="K725" s="8"/>
      <c r="L725" s="8"/>
      <c r="M725" s="8"/>
      <c r="N725" s="8"/>
    </row>
    <row r="726" spans="11:14" ht="15.75" customHeight="1" x14ac:dyDescent="0.3">
      <c r="K726" s="8"/>
      <c r="L726" s="8"/>
      <c r="M726" s="8"/>
      <c r="N726" s="8"/>
    </row>
    <row r="727" spans="11:14" ht="15.75" customHeight="1" x14ac:dyDescent="0.3">
      <c r="K727" s="8"/>
      <c r="L727" s="8"/>
      <c r="M727" s="8"/>
      <c r="N727" s="8"/>
    </row>
    <row r="728" spans="11:14" ht="15.75" customHeight="1" x14ac:dyDescent="0.3">
      <c r="K728" s="8"/>
      <c r="L728" s="8"/>
      <c r="M728" s="8"/>
      <c r="N728" s="8"/>
    </row>
    <row r="729" spans="11:14" ht="15.75" customHeight="1" x14ac:dyDescent="0.3">
      <c r="K729" s="8"/>
      <c r="L729" s="8"/>
      <c r="M729" s="8"/>
      <c r="N729" s="8"/>
    </row>
    <row r="730" spans="11:14" ht="15.75" customHeight="1" x14ac:dyDescent="0.3">
      <c r="K730" s="8"/>
      <c r="L730" s="8"/>
      <c r="M730" s="8"/>
      <c r="N730" s="8"/>
    </row>
    <row r="731" spans="11:14" ht="15.75" customHeight="1" x14ac:dyDescent="0.3">
      <c r="K731" s="8"/>
      <c r="L731" s="8"/>
      <c r="M731" s="8"/>
      <c r="N731" s="8"/>
    </row>
    <row r="732" spans="11:14" ht="15.75" customHeight="1" x14ac:dyDescent="0.3">
      <c r="K732" s="8"/>
      <c r="L732" s="8"/>
      <c r="M732" s="8"/>
      <c r="N732" s="8"/>
    </row>
    <row r="733" spans="11:14" ht="15.75" customHeight="1" x14ac:dyDescent="0.3">
      <c r="K733" s="8"/>
      <c r="L733" s="8"/>
      <c r="M733" s="8"/>
      <c r="N733" s="8"/>
    </row>
    <row r="734" spans="11:14" ht="15.75" customHeight="1" x14ac:dyDescent="0.3">
      <c r="K734" s="8"/>
      <c r="L734" s="8"/>
      <c r="M734" s="8"/>
      <c r="N734" s="8"/>
    </row>
    <row r="735" spans="11:14" ht="15.75" customHeight="1" x14ac:dyDescent="0.3">
      <c r="K735" s="8"/>
      <c r="L735" s="8"/>
      <c r="M735" s="8"/>
      <c r="N735" s="8"/>
    </row>
    <row r="736" spans="11:14" ht="15.75" customHeight="1" x14ac:dyDescent="0.3">
      <c r="K736" s="8"/>
      <c r="L736" s="8"/>
      <c r="M736" s="8"/>
      <c r="N736" s="8"/>
    </row>
    <row r="737" spans="11:14" ht="15.75" customHeight="1" x14ac:dyDescent="0.3">
      <c r="K737" s="8"/>
      <c r="L737" s="8"/>
      <c r="M737" s="8"/>
      <c r="N737" s="8"/>
    </row>
    <row r="738" spans="11:14" ht="15.75" customHeight="1" x14ac:dyDescent="0.3">
      <c r="K738" s="8"/>
      <c r="L738" s="8"/>
      <c r="M738" s="8"/>
      <c r="N738" s="8"/>
    </row>
    <row r="739" spans="11:14" ht="15.75" customHeight="1" x14ac:dyDescent="0.3">
      <c r="K739" s="8"/>
      <c r="L739" s="8"/>
      <c r="M739" s="8"/>
      <c r="N739" s="8"/>
    </row>
    <row r="740" spans="11:14" ht="15.75" customHeight="1" x14ac:dyDescent="0.3">
      <c r="K740" s="8"/>
      <c r="L740" s="8"/>
      <c r="M740" s="8"/>
      <c r="N740" s="8"/>
    </row>
    <row r="741" spans="11:14" ht="15.75" customHeight="1" x14ac:dyDescent="0.3">
      <c r="K741" s="8"/>
      <c r="L741" s="8"/>
      <c r="M741" s="8"/>
      <c r="N741" s="8"/>
    </row>
    <row r="742" spans="11:14" ht="15.75" customHeight="1" x14ac:dyDescent="0.3">
      <c r="K742" s="8"/>
      <c r="L742" s="8"/>
      <c r="M742" s="8"/>
      <c r="N742" s="8"/>
    </row>
    <row r="743" spans="11:14" ht="15.75" customHeight="1" x14ac:dyDescent="0.3">
      <c r="K743" s="8"/>
      <c r="L743" s="8"/>
      <c r="M743" s="8"/>
      <c r="N743" s="8"/>
    </row>
    <row r="744" spans="11:14" ht="15.75" customHeight="1" x14ac:dyDescent="0.3">
      <c r="K744" s="8"/>
      <c r="L744" s="8"/>
      <c r="M744" s="8"/>
      <c r="N744" s="8"/>
    </row>
    <row r="745" spans="11:14" ht="15.75" customHeight="1" x14ac:dyDescent="0.3">
      <c r="K745" s="8"/>
      <c r="L745" s="8"/>
      <c r="M745" s="8"/>
      <c r="N745" s="8"/>
    </row>
    <row r="746" spans="11:14" ht="15.75" customHeight="1" x14ac:dyDescent="0.3">
      <c r="K746" s="8"/>
      <c r="L746" s="8"/>
      <c r="M746" s="8"/>
      <c r="N746" s="8"/>
    </row>
    <row r="747" spans="11:14" ht="15.75" customHeight="1" x14ac:dyDescent="0.3">
      <c r="K747" s="8"/>
      <c r="L747" s="8"/>
      <c r="M747" s="8"/>
      <c r="N747" s="8"/>
    </row>
    <row r="748" spans="11:14" ht="15.75" customHeight="1" x14ac:dyDescent="0.3">
      <c r="K748" s="8"/>
      <c r="L748" s="8"/>
      <c r="M748" s="8"/>
      <c r="N748" s="8"/>
    </row>
    <row r="749" spans="11:14" ht="15.75" customHeight="1" x14ac:dyDescent="0.3">
      <c r="K749" s="8"/>
      <c r="L749" s="8"/>
      <c r="M749" s="8"/>
      <c r="N749" s="8"/>
    </row>
    <row r="750" spans="11:14" ht="15.75" customHeight="1" x14ac:dyDescent="0.3">
      <c r="K750" s="8"/>
      <c r="L750" s="8"/>
      <c r="M750" s="8"/>
      <c r="N750" s="8"/>
    </row>
    <row r="751" spans="11:14" ht="15.75" customHeight="1" x14ac:dyDescent="0.3">
      <c r="K751" s="8"/>
      <c r="L751" s="8"/>
      <c r="M751" s="8"/>
      <c r="N751" s="8"/>
    </row>
    <row r="752" spans="11:14" ht="15.75" customHeight="1" x14ac:dyDescent="0.3">
      <c r="K752" s="8"/>
      <c r="L752" s="8"/>
      <c r="M752" s="8"/>
      <c r="N752" s="8"/>
    </row>
    <row r="753" spans="11:14" ht="15.75" customHeight="1" x14ac:dyDescent="0.3">
      <c r="K753" s="8"/>
      <c r="L753" s="8"/>
      <c r="M753" s="8"/>
      <c r="N753" s="8"/>
    </row>
    <row r="754" spans="11:14" ht="15.75" customHeight="1" x14ac:dyDescent="0.3">
      <c r="K754" s="8"/>
      <c r="L754" s="8"/>
      <c r="M754" s="8"/>
      <c r="N754" s="8"/>
    </row>
    <row r="755" spans="11:14" ht="15.75" customHeight="1" x14ac:dyDescent="0.3">
      <c r="K755" s="8"/>
      <c r="L755" s="8"/>
      <c r="M755" s="8"/>
      <c r="N755" s="8"/>
    </row>
    <row r="756" spans="11:14" ht="15.75" customHeight="1" x14ac:dyDescent="0.3">
      <c r="K756" s="8"/>
      <c r="L756" s="8"/>
      <c r="M756" s="8"/>
      <c r="N756" s="8"/>
    </row>
    <row r="757" spans="11:14" ht="15.75" customHeight="1" x14ac:dyDescent="0.3">
      <c r="K757" s="8"/>
      <c r="L757" s="8"/>
      <c r="M757" s="8"/>
      <c r="N757" s="8"/>
    </row>
    <row r="758" spans="11:14" ht="15.75" customHeight="1" x14ac:dyDescent="0.3">
      <c r="K758" s="8"/>
      <c r="L758" s="8"/>
      <c r="M758" s="8"/>
      <c r="N758" s="8"/>
    </row>
    <row r="759" spans="11:14" ht="15.75" customHeight="1" x14ac:dyDescent="0.3">
      <c r="K759" s="8"/>
      <c r="L759" s="8"/>
      <c r="M759" s="8"/>
      <c r="N759" s="8"/>
    </row>
    <row r="760" spans="11:14" ht="15.75" customHeight="1" x14ac:dyDescent="0.3">
      <c r="K760" s="8"/>
      <c r="L760" s="8"/>
      <c r="M760" s="8"/>
      <c r="N760" s="8"/>
    </row>
    <row r="761" spans="11:14" ht="15.75" customHeight="1" x14ac:dyDescent="0.3">
      <c r="K761" s="8"/>
      <c r="L761" s="8"/>
      <c r="M761" s="8"/>
      <c r="N761" s="8"/>
    </row>
    <row r="762" spans="11:14" ht="15.75" customHeight="1" x14ac:dyDescent="0.3">
      <c r="K762" s="8"/>
      <c r="L762" s="8"/>
      <c r="M762" s="8"/>
      <c r="N762" s="8"/>
    </row>
    <row r="763" spans="11:14" ht="15.75" customHeight="1" x14ac:dyDescent="0.3">
      <c r="K763" s="8"/>
      <c r="L763" s="8"/>
      <c r="M763" s="8"/>
      <c r="N763" s="8"/>
    </row>
    <row r="764" spans="11:14" ht="15.75" customHeight="1" x14ac:dyDescent="0.3">
      <c r="K764" s="8"/>
      <c r="L764" s="8"/>
      <c r="M764" s="8"/>
      <c r="N764" s="8"/>
    </row>
    <row r="765" spans="11:14" ht="15.75" customHeight="1" x14ac:dyDescent="0.3">
      <c r="K765" s="8"/>
      <c r="L765" s="8"/>
      <c r="M765" s="8"/>
      <c r="N765" s="8"/>
    </row>
    <row r="766" spans="11:14" ht="15.75" customHeight="1" x14ac:dyDescent="0.3">
      <c r="K766" s="8"/>
      <c r="L766" s="8"/>
      <c r="M766" s="8"/>
      <c r="N766" s="8"/>
    </row>
    <row r="767" spans="11:14" ht="15.75" customHeight="1" x14ac:dyDescent="0.3">
      <c r="K767" s="8"/>
      <c r="L767" s="8"/>
      <c r="M767" s="8"/>
      <c r="N767" s="8"/>
    </row>
    <row r="768" spans="11:14" ht="15.75" customHeight="1" x14ac:dyDescent="0.3">
      <c r="K768" s="8"/>
      <c r="L768" s="8"/>
      <c r="M768" s="8"/>
      <c r="N768" s="8"/>
    </row>
    <row r="769" spans="11:14" ht="15.75" customHeight="1" x14ac:dyDescent="0.3">
      <c r="K769" s="8"/>
      <c r="L769" s="8"/>
      <c r="M769" s="8"/>
      <c r="N769" s="8"/>
    </row>
    <row r="770" spans="11:14" ht="15.75" customHeight="1" x14ac:dyDescent="0.3">
      <c r="K770" s="8"/>
      <c r="L770" s="8"/>
      <c r="M770" s="8"/>
      <c r="N770" s="8"/>
    </row>
    <row r="771" spans="11:14" ht="15.75" customHeight="1" x14ac:dyDescent="0.3">
      <c r="K771" s="8"/>
      <c r="L771" s="8"/>
      <c r="M771" s="8"/>
      <c r="N771" s="8"/>
    </row>
    <row r="772" spans="11:14" ht="15.75" customHeight="1" x14ac:dyDescent="0.3">
      <c r="K772" s="8"/>
      <c r="L772" s="8"/>
      <c r="M772" s="8"/>
      <c r="N772" s="8"/>
    </row>
    <row r="773" spans="11:14" ht="15.75" customHeight="1" x14ac:dyDescent="0.3">
      <c r="K773" s="8"/>
      <c r="L773" s="8"/>
      <c r="M773" s="8"/>
      <c r="N773" s="8"/>
    </row>
    <row r="774" spans="11:14" ht="15.75" customHeight="1" x14ac:dyDescent="0.3">
      <c r="K774" s="8"/>
      <c r="L774" s="8"/>
      <c r="M774" s="8"/>
      <c r="N774" s="8"/>
    </row>
    <row r="775" spans="11:14" ht="15.75" customHeight="1" x14ac:dyDescent="0.3">
      <c r="K775" s="8"/>
      <c r="L775" s="8"/>
      <c r="M775" s="8"/>
      <c r="N775" s="8"/>
    </row>
    <row r="776" spans="11:14" ht="15.75" customHeight="1" x14ac:dyDescent="0.3">
      <c r="K776" s="8"/>
      <c r="L776" s="8"/>
      <c r="M776" s="8"/>
      <c r="N776" s="8"/>
    </row>
    <row r="777" spans="11:14" ht="15.75" customHeight="1" x14ac:dyDescent="0.3">
      <c r="K777" s="8"/>
      <c r="L777" s="8"/>
      <c r="M777" s="8"/>
      <c r="N777" s="8"/>
    </row>
    <row r="778" spans="11:14" ht="15.75" customHeight="1" x14ac:dyDescent="0.3">
      <c r="K778" s="8"/>
      <c r="L778" s="8"/>
      <c r="M778" s="8"/>
      <c r="N778" s="8"/>
    </row>
    <row r="779" spans="11:14" ht="15.75" customHeight="1" x14ac:dyDescent="0.3">
      <c r="K779" s="8"/>
      <c r="L779" s="8"/>
      <c r="M779" s="8"/>
      <c r="N779" s="8"/>
    </row>
    <row r="780" spans="11:14" ht="15.75" customHeight="1" x14ac:dyDescent="0.3">
      <c r="K780" s="8"/>
      <c r="L780" s="8"/>
      <c r="M780" s="8"/>
      <c r="N780" s="8"/>
    </row>
    <row r="781" spans="11:14" ht="15.75" customHeight="1" x14ac:dyDescent="0.3">
      <c r="K781" s="8"/>
      <c r="L781" s="8"/>
      <c r="M781" s="8"/>
      <c r="N781" s="8"/>
    </row>
    <row r="782" spans="11:14" ht="15.75" customHeight="1" x14ac:dyDescent="0.3">
      <c r="K782" s="8"/>
      <c r="L782" s="8"/>
      <c r="M782" s="8"/>
      <c r="N782" s="8"/>
    </row>
    <row r="783" spans="11:14" ht="15.75" customHeight="1" x14ac:dyDescent="0.3">
      <c r="K783" s="8"/>
      <c r="L783" s="8"/>
      <c r="M783" s="8"/>
      <c r="N783" s="8"/>
    </row>
    <row r="784" spans="11:14" ht="15.75" customHeight="1" x14ac:dyDescent="0.3">
      <c r="K784" s="8"/>
      <c r="L784" s="8"/>
      <c r="M784" s="8"/>
      <c r="N784" s="8"/>
    </row>
    <row r="785" spans="11:14" ht="15.75" customHeight="1" x14ac:dyDescent="0.3">
      <c r="K785" s="8"/>
      <c r="L785" s="8"/>
      <c r="M785" s="8"/>
      <c r="N785" s="8"/>
    </row>
    <row r="786" spans="11:14" ht="15.75" customHeight="1" x14ac:dyDescent="0.3">
      <c r="K786" s="8"/>
      <c r="L786" s="8"/>
      <c r="M786" s="8"/>
      <c r="N786" s="8"/>
    </row>
    <row r="787" spans="11:14" ht="15.75" customHeight="1" x14ac:dyDescent="0.3">
      <c r="K787" s="8"/>
      <c r="L787" s="8"/>
      <c r="M787" s="8"/>
      <c r="N787" s="8"/>
    </row>
    <row r="788" spans="11:14" ht="15.75" customHeight="1" x14ac:dyDescent="0.3">
      <c r="K788" s="8"/>
      <c r="L788" s="8"/>
      <c r="M788" s="8"/>
      <c r="N788" s="8"/>
    </row>
    <row r="789" spans="11:14" ht="15.75" customHeight="1" x14ac:dyDescent="0.3">
      <c r="K789" s="8"/>
      <c r="L789" s="8"/>
      <c r="M789" s="8"/>
      <c r="N789" s="8"/>
    </row>
    <row r="790" spans="11:14" ht="15.75" customHeight="1" x14ac:dyDescent="0.3">
      <c r="K790" s="8"/>
      <c r="L790" s="8"/>
      <c r="M790" s="8"/>
      <c r="N790" s="8"/>
    </row>
    <row r="791" spans="11:14" ht="15.75" customHeight="1" x14ac:dyDescent="0.3">
      <c r="K791" s="8"/>
      <c r="L791" s="8"/>
      <c r="M791" s="8"/>
      <c r="N791" s="8"/>
    </row>
    <row r="792" spans="11:14" ht="15.75" customHeight="1" x14ac:dyDescent="0.3">
      <c r="K792" s="8"/>
      <c r="L792" s="8"/>
      <c r="M792" s="8"/>
      <c r="N792" s="8"/>
    </row>
    <row r="793" spans="11:14" ht="15.75" customHeight="1" x14ac:dyDescent="0.3">
      <c r="K793" s="8"/>
      <c r="L793" s="8"/>
      <c r="M793" s="8"/>
      <c r="N793" s="8"/>
    </row>
    <row r="794" spans="11:14" ht="15.75" customHeight="1" x14ac:dyDescent="0.3">
      <c r="K794" s="8"/>
      <c r="L794" s="8"/>
      <c r="M794" s="8"/>
      <c r="N794" s="8"/>
    </row>
    <row r="795" spans="11:14" ht="15.75" customHeight="1" x14ac:dyDescent="0.3">
      <c r="K795" s="8"/>
      <c r="L795" s="8"/>
      <c r="M795" s="8"/>
      <c r="N795" s="8"/>
    </row>
    <row r="796" spans="11:14" ht="15.75" customHeight="1" x14ac:dyDescent="0.3">
      <c r="K796" s="8"/>
      <c r="L796" s="8"/>
      <c r="M796" s="8"/>
      <c r="N796" s="8"/>
    </row>
    <row r="797" spans="11:14" ht="15.75" customHeight="1" x14ac:dyDescent="0.3">
      <c r="K797" s="8"/>
      <c r="L797" s="8"/>
      <c r="M797" s="8"/>
      <c r="N797" s="8"/>
    </row>
    <row r="798" spans="11:14" ht="15.75" customHeight="1" x14ac:dyDescent="0.3">
      <c r="K798" s="8"/>
      <c r="L798" s="8"/>
      <c r="M798" s="8"/>
      <c r="N798" s="8"/>
    </row>
    <row r="799" spans="11:14" ht="15.75" customHeight="1" x14ac:dyDescent="0.3">
      <c r="K799" s="8"/>
      <c r="L799" s="8"/>
      <c r="M799" s="8"/>
      <c r="N799" s="8"/>
    </row>
    <row r="800" spans="11:14" ht="15.75" customHeight="1" x14ac:dyDescent="0.3">
      <c r="K800" s="8"/>
      <c r="L800" s="8"/>
      <c r="M800" s="8"/>
      <c r="N800" s="8"/>
    </row>
    <row r="801" spans="11:14" ht="15.75" customHeight="1" x14ac:dyDescent="0.3">
      <c r="K801" s="8"/>
      <c r="L801" s="8"/>
      <c r="M801" s="8"/>
      <c r="N801" s="8"/>
    </row>
    <row r="802" spans="11:14" ht="15.75" customHeight="1" x14ac:dyDescent="0.3">
      <c r="K802" s="8"/>
      <c r="L802" s="8"/>
      <c r="M802" s="8"/>
      <c r="N802" s="8"/>
    </row>
    <row r="803" spans="11:14" ht="15.75" customHeight="1" x14ac:dyDescent="0.3">
      <c r="K803" s="8"/>
      <c r="L803" s="8"/>
      <c r="M803" s="8"/>
      <c r="N803" s="8"/>
    </row>
    <row r="804" spans="11:14" ht="15.75" customHeight="1" x14ac:dyDescent="0.3">
      <c r="K804" s="8"/>
      <c r="L804" s="8"/>
      <c r="M804" s="8"/>
      <c r="N804" s="8"/>
    </row>
    <row r="805" spans="11:14" ht="15.75" customHeight="1" x14ac:dyDescent="0.3">
      <c r="K805" s="8"/>
      <c r="L805" s="8"/>
      <c r="M805" s="8"/>
      <c r="N805" s="8"/>
    </row>
    <row r="806" spans="11:14" ht="15.75" customHeight="1" x14ac:dyDescent="0.3">
      <c r="K806" s="8"/>
      <c r="L806" s="8"/>
      <c r="M806" s="8"/>
      <c r="N806" s="8"/>
    </row>
    <row r="807" spans="11:14" ht="15.75" customHeight="1" x14ac:dyDescent="0.3">
      <c r="K807" s="8"/>
      <c r="L807" s="8"/>
      <c r="M807" s="8"/>
      <c r="N807" s="8"/>
    </row>
    <row r="808" spans="11:14" ht="15.75" customHeight="1" x14ac:dyDescent="0.3">
      <c r="K808" s="8"/>
      <c r="L808" s="8"/>
      <c r="M808" s="8"/>
      <c r="N808" s="8"/>
    </row>
    <row r="809" spans="11:14" ht="15.75" customHeight="1" x14ac:dyDescent="0.3">
      <c r="K809" s="8"/>
      <c r="L809" s="8"/>
      <c r="M809" s="8"/>
      <c r="N809" s="8"/>
    </row>
    <row r="810" spans="11:14" ht="15.75" customHeight="1" x14ac:dyDescent="0.3">
      <c r="K810" s="8"/>
      <c r="L810" s="8"/>
      <c r="M810" s="8"/>
      <c r="N810" s="8"/>
    </row>
    <row r="811" spans="11:14" ht="15.75" customHeight="1" x14ac:dyDescent="0.3">
      <c r="K811" s="8"/>
      <c r="L811" s="8"/>
      <c r="M811" s="8"/>
      <c r="N811" s="8"/>
    </row>
    <row r="812" spans="11:14" ht="15.75" customHeight="1" x14ac:dyDescent="0.3">
      <c r="K812" s="8"/>
      <c r="L812" s="8"/>
      <c r="M812" s="8"/>
      <c r="N812" s="8"/>
    </row>
    <row r="813" spans="11:14" ht="15.75" customHeight="1" x14ac:dyDescent="0.3">
      <c r="K813" s="8"/>
      <c r="L813" s="8"/>
      <c r="M813" s="8"/>
      <c r="N813" s="8"/>
    </row>
    <row r="814" spans="11:14" ht="15.75" customHeight="1" x14ac:dyDescent="0.3">
      <c r="K814" s="8"/>
      <c r="L814" s="8"/>
      <c r="M814" s="8"/>
      <c r="N814" s="8"/>
    </row>
    <row r="815" spans="11:14" ht="15.75" customHeight="1" x14ac:dyDescent="0.3">
      <c r="K815" s="8"/>
      <c r="L815" s="8"/>
      <c r="M815" s="8"/>
      <c r="N815" s="8"/>
    </row>
    <row r="816" spans="11:14" ht="15.75" customHeight="1" x14ac:dyDescent="0.3">
      <c r="K816" s="8"/>
      <c r="L816" s="8"/>
      <c r="M816" s="8"/>
      <c r="N816" s="8"/>
    </row>
    <row r="817" spans="11:14" ht="15.75" customHeight="1" x14ac:dyDescent="0.3">
      <c r="K817" s="8"/>
      <c r="L817" s="8"/>
      <c r="M817" s="8"/>
      <c r="N817" s="8"/>
    </row>
    <row r="818" spans="11:14" ht="15.75" customHeight="1" x14ac:dyDescent="0.3">
      <c r="K818" s="8"/>
      <c r="L818" s="8"/>
      <c r="M818" s="8"/>
      <c r="N818" s="8"/>
    </row>
    <row r="819" spans="11:14" ht="15.75" customHeight="1" x14ac:dyDescent="0.3">
      <c r="K819" s="8"/>
      <c r="L819" s="8"/>
      <c r="M819" s="8"/>
      <c r="N819" s="8"/>
    </row>
    <row r="820" spans="11:14" ht="15.75" customHeight="1" x14ac:dyDescent="0.3">
      <c r="K820" s="8"/>
      <c r="L820" s="8"/>
      <c r="M820" s="8"/>
      <c r="N820" s="8"/>
    </row>
    <row r="821" spans="11:14" ht="15.75" customHeight="1" x14ac:dyDescent="0.3">
      <c r="K821" s="8"/>
      <c r="L821" s="8"/>
      <c r="M821" s="8"/>
      <c r="N821" s="8"/>
    </row>
    <row r="822" spans="11:14" ht="15.75" customHeight="1" x14ac:dyDescent="0.3">
      <c r="K822" s="8"/>
      <c r="L822" s="8"/>
      <c r="M822" s="8"/>
      <c r="N822" s="8"/>
    </row>
    <row r="823" spans="11:14" ht="15.75" customHeight="1" x14ac:dyDescent="0.3">
      <c r="K823" s="8"/>
      <c r="L823" s="8"/>
      <c r="M823" s="8"/>
      <c r="N823" s="8"/>
    </row>
    <row r="824" spans="11:14" ht="15.75" customHeight="1" x14ac:dyDescent="0.3">
      <c r="K824" s="8"/>
      <c r="L824" s="8"/>
      <c r="M824" s="8"/>
      <c r="N824" s="8"/>
    </row>
    <row r="825" spans="11:14" ht="15.75" customHeight="1" x14ac:dyDescent="0.3">
      <c r="K825" s="8"/>
      <c r="L825" s="8"/>
      <c r="M825" s="8"/>
      <c r="N825" s="8"/>
    </row>
    <row r="826" spans="11:14" ht="15.75" customHeight="1" x14ac:dyDescent="0.3">
      <c r="K826" s="8"/>
      <c r="L826" s="8"/>
      <c r="M826" s="8"/>
      <c r="N826" s="8"/>
    </row>
    <row r="827" spans="11:14" ht="15.75" customHeight="1" x14ac:dyDescent="0.3">
      <c r="K827" s="8"/>
      <c r="L827" s="8"/>
      <c r="M827" s="8"/>
      <c r="N827" s="8"/>
    </row>
    <row r="828" spans="11:14" ht="15.75" customHeight="1" x14ac:dyDescent="0.3">
      <c r="K828" s="8"/>
      <c r="L828" s="8"/>
      <c r="M828" s="8"/>
      <c r="N828" s="8"/>
    </row>
    <row r="829" spans="11:14" ht="15.75" customHeight="1" x14ac:dyDescent="0.3">
      <c r="K829" s="8"/>
      <c r="L829" s="8"/>
      <c r="M829" s="8"/>
      <c r="N829" s="8"/>
    </row>
    <row r="830" spans="11:14" ht="15.75" customHeight="1" x14ac:dyDescent="0.3">
      <c r="K830" s="8"/>
      <c r="L830" s="8"/>
      <c r="M830" s="8"/>
      <c r="N830" s="8"/>
    </row>
    <row r="831" spans="11:14" ht="15.75" customHeight="1" x14ac:dyDescent="0.3">
      <c r="K831" s="8"/>
      <c r="L831" s="8"/>
      <c r="M831" s="8"/>
      <c r="N831" s="8"/>
    </row>
    <row r="832" spans="11:14" ht="15.75" customHeight="1" x14ac:dyDescent="0.3">
      <c r="K832" s="8"/>
      <c r="L832" s="8"/>
      <c r="M832" s="8"/>
      <c r="N832" s="8"/>
    </row>
    <row r="833" spans="11:14" ht="15.75" customHeight="1" x14ac:dyDescent="0.3">
      <c r="K833" s="8"/>
      <c r="L833" s="8"/>
      <c r="M833" s="8"/>
      <c r="N833" s="8"/>
    </row>
    <row r="834" spans="11:14" ht="15.75" customHeight="1" x14ac:dyDescent="0.3">
      <c r="K834" s="8"/>
      <c r="L834" s="8"/>
      <c r="M834" s="8"/>
      <c r="N834" s="8"/>
    </row>
    <row r="835" spans="11:14" ht="15.75" customHeight="1" x14ac:dyDescent="0.3">
      <c r="K835" s="8"/>
      <c r="L835" s="8"/>
      <c r="M835" s="8"/>
      <c r="N835" s="8"/>
    </row>
    <row r="836" spans="11:14" ht="15.75" customHeight="1" x14ac:dyDescent="0.3">
      <c r="K836" s="8"/>
      <c r="L836" s="8"/>
      <c r="M836" s="8"/>
      <c r="N836" s="8"/>
    </row>
    <row r="837" spans="11:14" ht="15.75" customHeight="1" x14ac:dyDescent="0.3">
      <c r="K837" s="8"/>
      <c r="L837" s="8"/>
      <c r="M837" s="8"/>
      <c r="N837" s="8"/>
    </row>
    <row r="838" spans="11:14" ht="15.75" customHeight="1" x14ac:dyDescent="0.3">
      <c r="K838" s="8"/>
      <c r="L838" s="8"/>
      <c r="M838" s="8"/>
      <c r="N838" s="8"/>
    </row>
    <row r="839" spans="11:14" ht="15.75" customHeight="1" x14ac:dyDescent="0.3">
      <c r="K839" s="8"/>
      <c r="L839" s="8"/>
      <c r="M839" s="8"/>
      <c r="N839" s="8"/>
    </row>
    <row r="840" spans="11:14" ht="15.75" customHeight="1" x14ac:dyDescent="0.3">
      <c r="K840" s="8"/>
      <c r="L840" s="8"/>
      <c r="M840" s="8"/>
      <c r="N840" s="8"/>
    </row>
    <row r="841" spans="11:14" ht="15.75" customHeight="1" x14ac:dyDescent="0.3">
      <c r="K841" s="8"/>
      <c r="L841" s="8"/>
      <c r="M841" s="8"/>
      <c r="N841" s="8"/>
    </row>
    <row r="842" spans="11:14" ht="15.75" customHeight="1" x14ac:dyDescent="0.3">
      <c r="K842" s="8"/>
      <c r="L842" s="8"/>
      <c r="M842" s="8"/>
      <c r="N842" s="8"/>
    </row>
    <row r="843" spans="11:14" ht="15.75" customHeight="1" x14ac:dyDescent="0.3">
      <c r="K843" s="8"/>
      <c r="L843" s="8"/>
      <c r="M843" s="8"/>
      <c r="N843" s="8"/>
    </row>
    <row r="844" spans="11:14" ht="15.75" customHeight="1" x14ac:dyDescent="0.3">
      <c r="K844" s="8"/>
      <c r="L844" s="8"/>
      <c r="M844" s="8"/>
      <c r="N844" s="8"/>
    </row>
    <row r="845" spans="11:14" ht="15.75" customHeight="1" x14ac:dyDescent="0.3">
      <c r="K845" s="8"/>
      <c r="L845" s="8"/>
      <c r="M845" s="8"/>
      <c r="N845" s="8"/>
    </row>
    <row r="846" spans="11:14" ht="15.75" customHeight="1" x14ac:dyDescent="0.3">
      <c r="K846" s="8"/>
      <c r="L846" s="8"/>
      <c r="M846" s="8"/>
      <c r="N846" s="8"/>
    </row>
    <row r="847" spans="11:14" ht="15.75" customHeight="1" x14ac:dyDescent="0.3">
      <c r="K847" s="8"/>
      <c r="L847" s="8"/>
      <c r="M847" s="8"/>
      <c r="N847" s="8"/>
    </row>
    <row r="848" spans="11:14" ht="15.75" customHeight="1" x14ac:dyDescent="0.3">
      <c r="K848" s="8"/>
      <c r="L848" s="8"/>
      <c r="M848" s="8"/>
      <c r="N848" s="8"/>
    </row>
    <row r="849" spans="11:14" ht="15.75" customHeight="1" x14ac:dyDescent="0.3">
      <c r="K849" s="8"/>
      <c r="L849" s="8"/>
      <c r="M849" s="8"/>
      <c r="N849" s="8"/>
    </row>
    <row r="850" spans="11:14" ht="15.75" customHeight="1" x14ac:dyDescent="0.3">
      <c r="K850" s="8"/>
      <c r="L850" s="8"/>
      <c r="M850" s="8"/>
      <c r="N850" s="8"/>
    </row>
    <row r="851" spans="11:14" ht="15.75" customHeight="1" x14ac:dyDescent="0.3">
      <c r="K851" s="8"/>
      <c r="L851" s="8"/>
      <c r="M851" s="8"/>
      <c r="N851" s="8"/>
    </row>
    <row r="852" spans="11:14" ht="15.75" customHeight="1" x14ac:dyDescent="0.3">
      <c r="K852" s="8"/>
      <c r="L852" s="8"/>
      <c r="M852" s="8"/>
      <c r="N852" s="8"/>
    </row>
    <row r="853" spans="11:14" ht="15.75" customHeight="1" x14ac:dyDescent="0.3">
      <c r="K853" s="8"/>
      <c r="L853" s="8"/>
      <c r="M853" s="8"/>
      <c r="N853" s="8"/>
    </row>
    <row r="854" spans="11:14" ht="15.75" customHeight="1" x14ac:dyDescent="0.3">
      <c r="K854" s="8"/>
      <c r="L854" s="8"/>
      <c r="M854" s="8"/>
      <c r="N854" s="8"/>
    </row>
    <row r="855" spans="11:14" ht="15.75" customHeight="1" x14ac:dyDescent="0.3">
      <c r="K855" s="8"/>
      <c r="L855" s="8"/>
      <c r="M855" s="8"/>
      <c r="N855" s="8"/>
    </row>
    <row r="856" spans="11:14" ht="15.75" customHeight="1" x14ac:dyDescent="0.3">
      <c r="K856" s="8"/>
      <c r="L856" s="8"/>
      <c r="M856" s="8"/>
      <c r="N856" s="8"/>
    </row>
    <row r="857" spans="11:14" ht="15.75" customHeight="1" x14ac:dyDescent="0.3">
      <c r="K857" s="8"/>
      <c r="L857" s="8"/>
      <c r="M857" s="8"/>
      <c r="N857" s="8"/>
    </row>
    <row r="858" spans="11:14" ht="15.75" customHeight="1" x14ac:dyDescent="0.3">
      <c r="K858" s="8"/>
      <c r="L858" s="8"/>
      <c r="M858" s="8"/>
      <c r="N858" s="8"/>
    </row>
    <row r="859" spans="11:14" ht="15.75" customHeight="1" x14ac:dyDescent="0.3">
      <c r="K859" s="8"/>
      <c r="L859" s="8"/>
      <c r="M859" s="8"/>
      <c r="N859" s="8"/>
    </row>
    <row r="860" spans="11:14" ht="15.75" customHeight="1" x14ac:dyDescent="0.3">
      <c r="K860" s="8"/>
      <c r="L860" s="8"/>
      <c r="M860" s="8"/>
      <c r="N860" s="8"/>
    </row>
    <row r="861" spans="11:14" ht="15.75" customHeight="1" x14ac:dyDescent="0.3">
      <c r="K861" s="8"/>
      <c r="L861" s="8"/>
      <c r="M861" s="8"/>
      <c r="N861" s="8"/>
    </row>
    <row r="862" spans="11:14" ht="15.75" customHeight="1" x14ac:dyDescent="0.3">
      <c r="K862" s="8"/>
      <c r="L862" s="8"/>
      <c r="M862" s="8"/>
      <c r="N862" s="8"/>
    </row>
    <row r="863" spans="11:14" ht="15.75" customHeight="1" x14ac:dyDescent="0.3">
      <c r="K863" s="8"/>
      <c r="L863" s="8"/>
      <c r="M863" s="8"/>
      <c r="N863" s="8"/>
    </row>
    <row r="864" spans="11:14" ht="15.75" customHeight="1" x14ac:dyDescent="0.3">
      <c r="K864" s="8"/>
      <c r="L864" s="8"/>
      <c r="M864" s="8"/>
      <c r="N864" s="8"/>
    </row>
    <row r="865" spans="11:14" ht="15.75" customHeight="1" x14ac:dyDescent="0.3">
      <c r="K865" s="8"/>
      <c r="L865" s="8"/>
      <c r="M865" s="8"/>
      <c r="N865" s="8"/>
    </row>
    <row r="866" spans="11:14" ht="15.75" customHeight="1" x14ac:dyDescent="0.3">
      <c r="K866" s="8"/>
      <c r="L866" s="8"/>
      <c r="M866" s="8"/>
      <c r="N866" s="8"/>
    </row>
    <row r="867" spans="11:14" ht="15.75" customHeight="1" x14ac:dyDescent="0.3">
      <c r="K867" s="8"/>
      <c r="L867" s="8"/>
      <c r="M867" s="8"/>
      <c r="N867" s="8"/>
    </row>
    <row r="868" spans="11:14" ht="15.75" customHeight="1" x14ac:dyDescent="0.3">
      <c r="K868" s="8"/>
      <c r="L868" s="8"/>
      <c r="M868" s="8"/>
      <c r="N868" s="8"/>
    </row>
    <row r="869" spans="11:14" ht="15.75" customHeight="1" x14ac:dyDescent="0.3">
      <c r="K869" s="8"/>
      <c r="L869" s="8"/>
      <c r="M869" s="8"/>
      <c r="N869" s="8"/>
    </row>
    <row r="870" spans="11:14" ht="15.75" customHeight="1" x14ac:dyDescent="0.3">
      <c r="K870" s="8"/>
      <c r="L870" s="8"/>
      <c r="M870" s="8"/>
      <c r="N870" s="8"/>
    </row>
    <row r="871" spans="11:14" ht="15.75" customHeight="1" x14ac:dyDescent="0.3">
      <c r="K871" s="8"/>
      <c r="L871" s="8"/>
      <c r="M871" s="8"/>
      <c r="N871" s="8"/>
    </row>
    <row r="872" spans="11:14" ht="15.75" customHeight="1" x14ac:dyDescent="0.3">
      <c r="K872" s="8"/>
      <c r="L872" s="8"/>
      <c r="M872" s="8"/>
      <c r="N872" s="8"/>
    </row>
    <row r="873" spans="11:14" ht="15.75" customHeight="1" x14ac:dyDescent="0.3">
      <c r="K873" s="8"/>
      <c r="L873" s="8"/>
      <c r="M873" s="8"/>
      <c r="N873" s="8"/>
    </row>
    <row r="874" spans="11:14" ht="15.75" customHeight="1" x14ac:dyDescent="0.3">
      <c r="K874" s="8"/>
      <c r="L874" s="8"/>
      <c r="M874" s="8"/>
      <c r="N874" s="8"/>
    </row>
    <row r="875" spans="11:14" ht="15.75" customHeight="1" x14ac:dyDescent="0.3">
      <c r="K875" s="8"/>
      <c r="L875" s="8"/>
      <c r="M875" s="8"/>
      <c r="N875" s="8"/>
    </row>
    <row r="876" spans="11:14" ht="15.75" customHeight="1" x14ac:dyDescent="0.3">
      <c r="K876" s="8"/>
      <c r="L876" s="8"/>
      <c r="M876" s="8"/>
      <c r="N876" s="8"/>
    </row>
    <row r="877" spans="11:14" ht="15.75" customHeight="1" x14ac:dyDescent="0.3">
      <c r="K877" s="8"/>
      <c r="L877" s="8"/>
      <c r="M877" s="8"/>
      <c r="N877" s="8"/>
    </row>
    <row r="878" spans="11:14" ht="15.75" customHeight="1" x14ac:dyDescent="0.3">
      <c r="K878" s="8"/>
      <c r="L878" s="8"/>
      <c r="M878" s="8"/>
      <c r="N878" s="8"/>
    </row>
    <row r="879" spans="11:14" ht="15.75" customHeight="1" x14ac:dyDescent="0.3">
      <c r="K879" s="8"/>
      <c r="L879" s="8"/>
      <c r="M879" s="8"/>
      <c r="N879" s="8"/>
    </row>
    <row r="880" spans="11:14" ht="15.75" customHeight="1" x14ac:dyDescent="0.3">
      <c r="K880" s="8"/>
      <c r="L880" s="8"/>
      <c r="M880" s="8"/>
      <c r="N880" s="8"/>
    </row>
    <row r="881" spans="11:14" ht="15.75" customHeight="1" x14ac:dyDescent="0.3">
      <c r="K881" s="8"/>
      <c r="L881" s="8"/>
      <c r="M881" s="8"/>
      <c r="N881" s="8"/>
    </row>
    <row r="882" spans="11:14" ht="15.75" customHeight="1" x14ac:dyDescent="0.3">
      <c r="K882" s="8"/>
      <c r="L882" s="8"/>
      <c r="M882" s="8"/>
      <c r="N882" s="8"/>
    </row>
    <row r="883" spans="11:14" ht="15.75" customHeight="1" x14ac:dyDescent="0.3">
      <c r="K883" s="8"/>
      <c r="L883" s="8"/>
      <c r="M883" s="8"/>
      <c r="N883" s="8"/>
    </row>
    <row r="884" spans="11:14" ht="15.75" customHeight="1" x14ac:dyDescent="0.3">
      <c r="K884" s="8"/>
      <c r="L884" s="8"/>
      <c r="M884" s="8"/>
      <c r="N884" s="8"/>
    </row>
    <row r="885" spans="11:14" ht="15.75" customHeight="1" x14ac:dyDescent="0.3">
      <c r="K885" s="8"/>
      <c r="L885" s="8"/>
      <c r="M885" s="8"/>
      <c r="N885" s="8"/>
    </row>
    <row r="886" spans="11:14" ht="15.75" customHeight="1" x14ac:dyDescent="0.3">
      <c r="K886" s="8"/>
      <c r="L886" s="8"/>
      <c r="M886" s="8"/>
      <c r="N886" s="8"/>
    </row>
    <row r="887" spans="11:14" ht="15.75" customHeight="1" x14ac:dyDescent="0.3">
      <c r="K887" s="8"/>
      <c r="L887" s="8"/>
      <c r="M887" s="8"/>
      <c r="N887" s="8"/>
    </row>
    <row r="888" spans="11:14" ht="15.75" customHeight="1" x14ac:dyDescent="0.3">
      <c r="K888" s="8"/>
      <c r="L888" s="8"/>
      <c r="M888" s="8"/>
      <c r="N888" s="8"/>
    </row>
    <row r="889" spans="11:14" ht="15.75" customHeight="1" x14ac:dyDescent="0.3">
      <c r="K889" s="8"/>
      <c r="L889" s="8"/>
      <c r="M889" s="8"/>
      <c r="N889" s="8"/>
    </row>
    <row r="890" spans="11:14" ht="15.75" customHeight="1" x14ac:dyDescent="0.3">
      <c r="K890" s="8"/>
      <c r="L890" s="8"/>
      <c r="M890" s="8"/>
      <c r="N890" s="8"/>
    </row>
    <row r="891" spans="11:14" ht="15.75" customHeight="1" x14ac:dyDescent="0.3">
      <c r="K891" s="8"/>
      <c r="L891" s="8"/>
      <c r="M891" s="8"/>
      <c r="N891" s="8"/>
    </row>
    <row r="892" spans="11:14" ht="15.75" customHeight="1" x14ac:dyDescent="0.3">
      <c r="K892" s="8"/>
      <c r="L892" s="8"/>
      <c r="M892" s="8"/>
      <c r="N892" s="8"/>
    </row>
    <row r="893" spans="11:14" ht="15.75" customHeight="1" x14ac:dyDescent="0.3">
      <c r="K893" s="8"/>
      <c r="L893" s="8"/>
      <c r="M893" s="8"/>
      <c r="N893" s="8"/>
    </row>
    <row r="894" spans="11:14" ht="15.75" customHeight="1" x14ac:dyDescent="0.3">
      <c r="K894" s="8"/>
      <c r="L894" s="8"/>
      <c r="M894" s="8"/>
      <c r="N894" s="8"/>
    </row>
    <row r="895" spans="11:14" ht="15.75" customHeight="1" x14ac:dyDescent="0.3">
      <c r="K895" s="8"/>
      <c r="L895" s="8"/>
      <c r="M895" s="8"/>
      <c r="N895" s="8"/>
    </row>
    <row r="896" spans="11:14" ht="15.75" customHeight="1" x14ac:dyDescent="0.3">
      <c r="K896" s="8"/>
      <c r="L896" s="8"/>
      <c r="M896" s="8"/>
      <c r="N896" s="8"/>
    </row>
    <row r="897" spans="11:14" ht="15.75" customHeight="1" x14ac:dyDescent="0.3">
      <c r="K897" s="8"/>
      <c r="L897" s="8"/>
      <c r="M897" s="8"/>
      <c r="N897" s="8"/>
    </row>
    <row r="898" spans="11:14" ht="15.75" customHeight="1" x14ac:dyDescent="0.3">
      <c r="K898" s="8"/>
      <c r="L898" s="8"/>
      <c r="M898" s="8"/>
      <c r="N898" s="8"/>
    </row>
    <row r="899" spans="11:14" ht="15.75" customHeight="1" x14ac:dyDescent="0.3">
      <c r="K899" s="8"/>
      <c r="L899" s="8"/>
      <c r="M899" s="8"/>
      <c r="N899" s="8"/>
    </row>
    <row r="900" spans="11:14" ht="15.75" customHeight="1" x14ac:dyDescent="0.3">
      <c r="K900" s="8"/>
      <c r="L900" s="8"/>
      <c r="M900" s="8"/>
      <c r="N900" s="8"/>
    </row>
    <row r="901" spans="11:14" ht="15.75" customHeight="1" x14ac:dyDescent="0.3">
      <c r="K901" s="8"/>
      <c r="L901" s="8"/>
      <c r="M901" s="8"/>
      <c r="N901" s="8"/>
    </row>
    <row r="902" spans="11:14" ht="15.75" customHeight="1" x14ac:dyDescent="0.3">
      <c r="K902" s="8"/>
      <c r="L902" s="8"/>
      <c r="M902" s="8"/>
      <c r="N902" s="8"/>
    </row>
    <row r="903" spans="11:14" ht="15.75" customHeight="1" x14ac:dyDescent="0.3">
      <c r="K903" s="8"/>
      <c r="L903" s="8"/>
      <c r="M903" s="8"/>
      <c r="N903" s="8"/>
    </row>
    <row r="904" spans="11:14" ht="15.75" customHeight="1" x14ac:dyDescent="0.3">
      <c r="K904" s="8"/>
      <c r="L904" s="8"/>
      <c r="M904" s="8"/>
      <c r="N904" s="8"/>
    </row>
    <row r="905" spans="11:14" ht="15.75" customHeight="1" x14ac:dyDescent="0.3">
      <c r="K905" s="8"/>
      <c r="L905" s="8"/>
      <c r="M905" s="8"/>
      <c r="N905" s="8"/>
    </row>
    <row r="906" spans="11:14" ht="15.75" customHeight="1" x14ac:dyDescent="0.3">
      <c r="K906" s="8"/>
      <c r="L906" s="8"/>
      <c r="M906" s="8"/>
      <c r="N906" s="8"/>
    </row>
    <row r="907" spans="11:14" ht="15.75" customHeight="1" x14ac:dyDescent="0.3">
      <c r="K907" s="8"/>
      <c r="L907" s="8"/>
      <c r="M907" s="8"/>
      <c r="N907" s="8"/>
    </row>
    <row r="908" spans="11:14" ht="15.75" customHeight="1" x14ac:dyDescent="0.3">
      <c r="K908" s="8"/>
      <c r="L908" s="8"/>
      <c r="M908" s="8"/>
      <c r="N908" s="8"/>
    </row>
    <row r="909" spans="11:14" ht="15.75" customHeight="1" x14ac:dyDescent="0.3">
      <c r="K909" s="8"/>
      <c r="L909" s="8"/>
      <c r="M909" s="8"/>
      <c r="N909" s="8"/>
    </row>
    <row r="910" spans="11:14" ht="15.75" customHeight="1" x14ac:dyDescent="0.3">
      <c r="K910" s="8"/>
      <c r="L910" s="8"/>
      <c r="M910" s="8"/>
      <c r="N910" s="8"/>
    </row>
    <row r="911" spans="11:14" ht="15.75" customHeight="1" x14ac:dyDescent="0.3">
      <c r="K911" s="8"/>
      <c r="L911" s="8"/>
      <c r="M911" s="8"/>
      <c r="N911" s="8"/>
    </row>
    <row r="912" spans="11:14" ht="15.75" customHeight="1" x14ac:dyDescent="0.3">
      <c r="K912" s="8"/>
      <c r="L912" s="8"/>
      <c r="M912" s="8"/>
      <c r="N912" s="8"/>
    </row>
    <row r="913" spans="11:14" ht="15.75" customHeight="1" x14ac:dyDescent="0.3">
      <c r="K913" s="8"/>
      <c r="L913" s="8"/>
      <c r="M913" s="8"/>
      <c r="N913" s="8"/>
    </row>
    <row r="914" spans="11:14" ht="15.75" customHeight="1" x14ac:dyDescent="0.3">
      <c r="K914" s="8"/>
      <c r="L914" s="8"/>
      <c r="M914" s="8"/>
      <c r="N914" s="8"/>
    </row>
    <row r="915" spans="11:14" ht="15.75" customHeight="1" x14ac:dyDescent="0.3">
      <c r="K915" s="8"/>
      <c r="L915" s="8"/>
      <c r="M915" s="8"/>
      <c r="N915" s="8"/>
    </row>
    <row r="916" spans="11:14" ht="15.75" customHeight="1" x14ac:dyDescent="0.3">
      <c r="K916" s="8"/>
      <c r="L916" s="8"/>
      <c r="M916" s="8"/>
      <c r="N916" s="8"/>
    </row>
    <row r="917" spans="11:14" ht="15.75" customHeight="1" x14ac:dyDescent="0.3">
      <c r="K917" s="8"/>
      <c r="L917" s="8"/>
      <c r="M917" s="8"/>
      <c r="N917" s="8"/>
    </row>
    <row r="918" spans="11:14" ht="15.75" customHeight="1" x14ac:dyDescent="0.3">
      <c r="K918" s="8"/>
      <c r="L918" s="8"/>
      <c r="M918" s="8"/>
      <c r="N918" s="8"/>
    </row>
    <row r="919" spans="11:14" ht="15.75" customHeight="1" x14ac:dyDescent="0.3">
      <c r="K919" s="8"/>
      <c r="L919" s="8"/>
      <c r="M919" s="8"/>
      <c r="N919" s="8"/>
    </row>
    <row r="920" spans="11:14" ht="15.75" customHeight="1" x14ac:dyDescent="0.3">
      <c r="K920" s="8"/>
      <c r="L920" s="8"/>
      <c r="M920" s="8"/>
      <c r="N920" s="8"/>
    </row>
    <row r="921" spans="11:14" ht="15.75" customHeight="1" x14ac:dyDescent="0.3">
      <c r="K921" s="8"/>
      <c r="L921" s="8"/>
      <c r="M921" s="8"/>
      <c r="N921" s="8"/>
    </row>
    <row r="922" spans="11:14" ht="15.75" customHeight="1" x14ac:dyDescent="0.3">
      <c r="K922" s="8"/>
      <c r="L922" s="8"/>
      <c r="M922" s="8"/>
      <c r="N922" s="8"/>
    </row>
    <row r="923" spans="11:14" ht="15.75" customHeight="1" x14ac:dyDescent="0.3">
      <c r="K923" s="8"/>
      <c r="L923" s="8"/>
      <c r="M923" s="8"/>
      <c r="N923" s="8"/>
    </row>
    <row r="924" spans="11:14" ht="15.75" customHeight="1" x14ac:dyDescent="0.3">
      <c r="K924" s="8"/>
      <c r="L924" s="8"/>
      <c r="M924" s="8"/>
      <c r="N924" s="8"/>
    </row>
    <row r="925" spans="11:14" ht="15.75" customHeight="1" x14ac:dyDescent="0.3">
      <c r="K925" s="8"/>
      <c r="L925" s="8"/>
      <c r="M925" s="8"/>
      <c r="N925" s="8"/>
    </row>
    <row r="926" spans="11:14" ht="15.75" customHeight="1" x14ac:dyDescent="0.3">
      <c r="K926" s="8"/>
      <c r="L926" s="8"/>
      <c r="M926" s="8"/>
      <c r="N926" s="8"/>
    </row>
    <row r="927" spans="11:14" ht="15.75" customHeight="1" x14ac:dyDescent="0.3">
      <c r="K927" s="8"/>
      <c r="L927" s="8"/>
      <c r="M927" s="8"/>
      <c r="N927" s="8"/>
    </row>
    <row r="928" spans="11:14" ht="15.75" customHeight="1" x14ac:dyDescent="0.3">
      <c r="K928" s="8"/>
      <c r="L928" s="8"/>
      <c r="M928" s="8"/>
      <c r="N928" s="8"/>
    </row>
    <row r="929" spans="11:14" ht="15.75" customHeight="1" x14ac:dyDescent="0.3">
      <c r="K929" s="8"/>
      <c r="L929" s="8"/>
      <c r="M929" s="8"/>
      <c r="N929" s="8"/>
    </row>
    <row r="930" spans="11:14" ht="15.75" customHeight="1" x14ac:dyDescent="0.3">
      <c r="K930" s="8"/>
      <c r="L930" s="8"/>
      <c r="M930" s="8"/>
      <c r="N930" s="8"/>
    </row>
    <row r="931" spans="11:14" ht="15.75" customHeight="1" x14ac:dyDescent="0.3">
      <c r="K931" s="8"/>
      <c r="L931" s="8"/>
      <c r="M931" s="8"/>
      <c r="N931" s="8"/>
    </row>
    <row r="932" spans="11:14" ht="15.75" customHeight="1" x14ac:dyDescent="0.3">
      <c r="K932" s="8"/>
      <c r="L932" s="8"/>
      <c r="M932" s="8"/>
      <c r="N932" s="8"/>
    </row>
    <row r="933" spans="11:14" ht="15.75" customHeight="1" x14ac:dyDescent="0.3">
      <c r="K933" s="8"/>
      <c r="L933" s="8"/>
      <c r="M933" s="8"/>
      <c r="N933" s="8"/>
    </row>
    <row r="934" spans="11:14" ht="15.75" customHeight="1" x14ac:dyDescent="0.3">
      <c r="K934" s="8"/>
      <c r="L934" s="8"/>
      <c r="M934" s="8"/>
      <c r="N934" s="8"/>
    </row>
    <row r="935" spans="11:14" ht="15.75" customHeight="1" x14ac:dyDescent="0.3">
      <c r="K935" s="8"/>
      <c r="L935" s="8"/>
      <c r="M935" s="8"/>
      <c r="N935" s="8"/>
    </row>
    <row r="936" spans="11:14" ht="15.75" customHeight="1" x14ac:dyDescent="0.3">
      <c r="K936" s="8"/>
      <c r="L936" s="8"/>
      <c r="M936" s="8"/>
      <c r="N936" s="8"/>
    </row>
    <row r="937" spans="11:14" ht="15.75" customHeight="1" x14ac:dyDescent="0.3">
      <c r="K937" s="8"/>
      <c r="L937" s="8"/>
      <c r="M937" s="8"/>
      <c r="N937" s="8"/>
    </row>
    <row r="938" spans="11:14" ht="15.75" customHeight="1" x14ac:dyDescent="0.3">
      <c r="K938" s="8"/>
      <c r="L938" s="8"/>
      <c r="M938" s="8"/>
      <c r="N938" s="8"/>
    </row>
    <row r="939" spans="11:14" ht="15.75" customHeight="1" x14ac:dyDescent="0.3">
      <c r="K939" s="8"/>
      <c r="L939" s="8"/>
      <c r="M939" s="8"/>
      <c r="N939" s="8"/>
    </row>
    <row r="940" spans="11:14" ht="15.75" customHeight="1" x14ac:dyDescent="0.3">
      <c r="K940" s="8"/>
      <c r="L940" s="8"/>
      <c r="M940" s="8"/>
      <c r="N940" s="8"/>
    </row>
    <row r="941" spans="11:14" ht="15.75" customHeight="1" x14ac:dyDescent="0.3">
      <c r="K941" s="8"/>
      <c r="L941" s="8"/>
      <c r="M941" s="8"/>
      <c r="N941" s="8"/>
    </row>
    <row r="942" spans="11:14" ht="15.75" customHeight="1" x14ac:dyDescent="0.3">
      <c r="K942" s="8"/>
      <c r="L942" s="8"/>
      <c r="M942" s="8"/>
      <c r="N942" s="8"/>
    </row>
    <row r="943" spans="11:14" ht="15.75" customHeight="1" x14ac:dyDescent="0.3">
      <c r="K943" s="8"/>
      <c r="L943" s="8"/>
      <c r="M943" s="8"/>
      <c r="N943" s="8"/>
    </row>
    <row r="944" spans="11:14" ht="15.75" customHeight="1" x14ac:dyDescent="0.3">
      <c r="K944" s="8"/>
      <c r="L944" s="8"/>
      <c r="M944" s="8"/>
      <c r="N944" s="8"/>
    </row>
    <row r="945" spans="11:14" ht="15.75" customHeight="1" x14ac:dyDescent="0.3">
      <c r="K945" s="8"/>
      <c r="L945" s="8"/>
      <c r="M945" s="8"/>
      <c r="N945" s="8"/>
    </row>
    <row r="946" spans="11:14" ht="15.75" customHeight="1" x14ac:dyDescent="0.3">
      <c r="K946" s="8"/>
      <c r="L946" s="8"/>
      <c r="M946" s="8"/>
      <c r="N946" s="8"/>
    </row>
    <row r="947" spans="11:14" ht="15.75" customHeight="1" x14ac:dyDescent="0.3">
      <c r="K947" s="8"/>
      <c r="L947" s="8"/>
      <c r="M947" s="8"/>
      <c r="N947" s="8"/>
    </row>
    <row r="948" spans="11:14" ht="15.75" customHeight="1" x14ac:dyDescent="0.3">
      <c r="K948" s="8"/>
      <c r="L948" s="8"/>
      <c r="M948" s="8"/>
      <c r="N948" s="8"/>
    </row>
    <row r="949" spans="11:14" ht="15.75" customHeight="1" x14ac:dyDescent="0.3">
      <c r="K949" s="8"/>
      <c r="L949" s="8"/>
      <c r="M949" s="8"/>
      <c r="N949" s="8"/>
    </row>
    <row r="950" spans="11:14" ht="15.75" customHeight="1" x14ac:dyDescent="0.3">
      <c r="K950" s="8"/>
      <c r="L950" s="8"/>
      <c r="M950" s="8"/>
      <c r="N950" s="8"/>
    </row>
    <row r="951" spans="11:14" ht="15.75" customHeight="1" x14ac:dyDescent="0.3">
      <c r="K951" s="8"/>
      <c r="L951" s="8"/>
      <c r="M951" s="8"/>
      <c r="N951" s="8"/>
    </row>
    <row r="952" spans="11:14" ht="15.75" customHeight="1" x14ac:dyDescent="0.3">
      <c r="K952" s="8"/>
      <c r="L952" s="8"/>
      <c r="M952" s="8"/>
      <c r="N952" s="8"/>
    </row>
    <row r="953" spans="11:14" ht="15.75" customHeight="1" x14ac:dyDescent="0.3">
      <c r="K953" s="8"/>
      <c r="L953" s="8"/>
      <c r="M953" s="8"/>
      <c r="N953" s="8"/>
    </row>
    <row r="954" spans="11:14" ht="15.75" customHeight="1" x14ac:dyDescent="0.3">
      <c r="K954" s="8"/>
      <c r="L954" s="8"/>
      <c r="M954" s="8"/>
      <c r="N954" s="8"/>
    </row>
    <row r="955" spans="11:14" ht="15.75" customHeight="1" x14ac:dyDescent="0.3">
      <c r="K955" s="8"/>
      <c r="L955" s="8"/>
      <c r="M955" s="8"/>
      <c r="N955" s="8"/>
    </row>
    <row r="956" spans="11:14" ht="15.75" customHeight="1" x14ac:dyDescent="0.3">
      <c r="K956" s="8"/>
      <c r="L956" s="8"/>
      <c r="M956" s="8"/>
      <c r="N956" s="8"/>
    </row>
    <row r="957" spans="11:14" ht="15.75" customHeight="1" x14ac:dyDescent="0.3">
      <c r="K957" s="8"/>
      <c r="L957" s="8"/>
      <c r="M957" s="8"/>
      <c r="N957" s="8"/>
    </row>
    <row r="958" spans="11:14" ht="15.75" customHeight="1" x14ac:dyDescent="0.3">
      <c r="K958" s="8"/>
      <c r="L958" s="8"/>
      <c r="M958" s="8"/>
      <c r="N958" s="8"/>
    </row>
    <row r="959" spans="11:14" ht="15.75" customHeight="1" x14ac:dyDescent="0.3">
      <c r="K959" s="8"/>
      <c r="L959" s="8"/>
      <c r="M959" s="8"/>
      <c r="N959" s="8"/>
    </row>
    <row r="960" spans="11:14" ht="15.75" customHeight="1" x14ac:dyDescent="0.3">
      <c r="K960" s="8"/>
      <c r="L960" s="8"/>
      <c r="M960" s="8"/>
      <c r="N960" s="8"/>
    </row>
    <row r="961" spans="11:14" ht="15.75" customHeight="1" x14ac:dyDescent="0.3">
      <c r="K961" s="8"/>
      <c r="L961" s="8"/>
      <c r="M961" s="8"/>
      <c r="N961" s="8"/>
    </row>
    <row r="962" spans="11:14" ht="15.75" customHeight="1" x14ac:dyDescent="0.3">
      <c r="K962" s="8"/>
      <c r="L962" s="8"/>
      <c r="M962" s="8"/>
      <c r="N962" s="8"/>
    </row>
    <row r="963" spans="11:14" ht="15.75" customHeight="1" x14ac:dyDescent="0.3">
      <c r="K963" s="8"/>
      <c r="L963" s="8"/>
      <c r="M963" s="8"/>
      <c r="N963" s="8"/>
    </row>
    <row r="964" spans="11:14" ht="15.75" customHeight="1" x14ac:dyDescent="0.3">
      <c r="K964" s="8"/>
      <c r="L964" s="8"/>
      <c r="M964" s="8"/>
      <c r="N964" s="8"/>
    </row>
    <row r="965" spans="11:14" ht="15.75" customHeight="1" x14ac:dyDescent="0.3">
      <c r="K965" s="8"/>
      <c r="L965" s="8"/>
      <c r="M965" s="8"/>
      <c r="N965" s="8"/>
    </row>
    <row r="966" spans="11:14" ht="15.75" customHeight="1" x14ac:dyDescent="0.3">
      <c r="K966" s="8"/>
      <c r="L966" s="8"/>
      <c r="M966" s="8"/>
      <c r="N966" s="8"/>
    </row>
    <row r="967" spans="11:14" ht="15.75" customHeight="1" x14ac:dyDescent="0.3">
      <c r="K967" s="8"/>
      <c r="L967" s="8"/>
      <c r="M967" s="8"/>
      <c r="N967" s="8"/>
    </row>
    <row r="968" spans="11:14" ht="15.75" customHeight="1" x14ac:dyDescent="0.3">
      <c r="K968" s="8"/>
      <c r="L968" s="8"/>
      <c r="M968" s="8"/>
      <c r="N968" s="8"/>
    </row>
    <row r="969" spans="11:14" ht="15.75" customHeight="1" x14ac:dyDescent="0.3">
      <c r="K969" s="8"/>
      <c r="L969" s="8"/>
      <c r="M969" s="8"/>
      <c r="N969" s="8"/>
    </row>
    <row r="970" spans="11:14" ht="15.75" customHeight="1" x14ac:dyDescent="0.3">
      <c r="K970" s="8"/>
      <c r="L970" s="8"/>
      <c r="M970" s="8"/>
      <c r="N970" s="8"/>
    </row>
    <row r="971" spans="11:14" ht="15.75" customHeight="1" x14ac:dyDescent="0.3">
      <c r="K971" s="8"/>
      <c r="L971" s="8"/>
      <c r="M971" s="8"/>
      <c r="N971" s="8"/>
    </row>
    <row r="972" spans="11:14" ht="15.75" customHeight="1" x14ac:dyDescent="0.3">
      <c r="K972" s="8"/>
      <c r="L972" s="8"/>
      <c r="M972" s="8"/>
      <c r="N972" s="8"/>
    </row>
    <row r="973" spans="11:14" ht="15.75" customHeight="1" x14ac:dyDescent="0.3">
      <c r="K973" s="8"/>
      <c r="L973" s="8"/>
      <c r="M973" s="8"/>
      <c r="N973" s="8"/>
    </row>
    <row r="974" spans="11:14" ht="15.75" customHeight="1" x14ac:dyDescent="0.3">
      <c r="K974" s="8"/>
      <c r="L974" s="8"/>
      <c r="M974" s="8"/>
      <c r="N974" s="8"/>
    </row>
    <row r="975" spans="11:14" ht="15.75" customHeight="1" x14ac:dyDescent="0.3">
      <c r="K975" s="8"/>
      <c r="L975" s="8"/>
      <c r="M975" s="8"/>
      <c r="N975" s="8"/>
    </row>
    <row r="976" spans="11:14" ht="15.75" customHeight="1" x14ac:dyDescent="0.3">
      <c r="K976" s="8"/>
      <c r="L976" s="8"/>
      <c r="M976" s="8"/>
      <c r="N976" s="8"/>
    </row>
    <row r="977" spans="11:14" ht="15.75" customHeight="1" x14ac:dyDescent="0.3">
      <c r="K977" s="8"/>
      <c r="L977" s="8"/>
      <c r="M977" s="8"/>
      <c r="N977" s="8"/>
    </row>
    <row r="978" spans="11:14" ht="15.75" customHeight="1" x14ac:dyDescent="0.3">
      <c r="K978" s="8"/>
      <c r="L978" s="8"/>
      <c r="M978" s="8"/>
      <c r="N978" s="8"/>
    </row>
    <row r="979" spans="11:14" ht="15.75" customHeight="1" x14ac:dyDescent="0.3">
      <c r="K979" s="8"/>
      <c r="L979" s="8"/>
      <c r="M979" s="8"/>
      <c r="N979" s="8"/>
    </row>
    <row r="980" spans="11:14" ht="15.75" customHeight="1" x14ac:dyDescent="0.3">
      <c r="K980" s="8"/>
      <c r="L980" s="8"/>
      <c r="M980" s="8"/>
      <c r="N980" s="8"/>
    </row>
    <row r="981" spans="11:14" ht="15.75" customHeight="1" x14ac:dyDescent="0.3">
      <c r="K981" s="8"/>
      <c r="L981" s="8"/>
      <c r="M981" s="8"/>
      <c r="N981" s="8"/>
    </row>
    <row r="982" spans="11:14" ht="15.75" customHeight="1" x14ac:dyDescent="0.3">
      <c r="K982" s="8"/>
      <c r="L982" s="8"/>
      <c r="M982" s="8"/>
      <c r="N982" s="8"/>
    </row>
    <row r="983" spans="11:14" ht="15.75" customHeight="1" x14ac:dyDescent="0.3">
      <c r="K983" s="8"/>
      <c r="L983" s="8"/>
      <c r="M983" s="8"/>
      <c r="N983" s="8"/>
    </row>
    <row r="984" spans="11:14" ht="15.75" customHeight="1" x14ac:dyDescent="0.3">
      <c r="K984" s="8"/>
      <c r="L984" s="8"/>
      <c r="M984" s="8"/>
      <c r="N984" s="8"/>
    </row>
    <row r="985" spans="11:14" ht="15.75" customHeight="1" x14ac:dyDescent="0.3">
      <c r="K985" s="8"/>
      <c r="L985" s="8"/>
      <c r="M985" s="8"/>
      <c r="N985" s="8"/>
    </row>
    <row r="986" spans="11:14" ht="15.75" customHeight="1" x14ac:dyDescent="0.3">
      <c r="K986" s="8"/>
      <c r="L986" s="8"/>
      <c r="M986" s="8"/>
      <c r="N986" s="8"/>
    </row>
    <row r="987" spans="11:14" ht="15.75" customHeight="1" x14ac:dyDescent="0.3">
      <c r="K987" s="8"/>
      <c r="L987" s="8"/>
      <c r="M987" s="8"/>
      <c r="N987" s="8"/>
    </row>
    <row r="988" spans="11:14" ht="15.75" customHeight="1" x14ac:dyDescent="0.3">
      <c r="K988" s="8"/>
      <c r="L988" s="8"/>
      <c r="M988" s="8"/>
      <c r="N988" s="8"/>
    </row>
    <row r="989" spans="11:14" ht="15.75" customHeight="1" x14ac:dyDescent="0.3">
      <c r="K989" s="8"/>
      <c r="L989" s="8"/>
      <c r="M989" s="8"/>
      <c r="N989" s="8"/>
    </row>
    <row r="990" spans="11:14" ht="15.75" customHeight="1" x14ac:dyDescent="0.3">
      <c r="K990" s="8"/>
      <c r="L990" s="8"/>
      <c r="M990" s="8"/>
      <c r="N990" s="8"/>
    </row>
    <row r="991" spans="11:14" ht="15.75" customHeight="1" x14ac:dyDescent="0.3">
      <c r="K991" s="8"/>
      <c r="L991" s="8"/>
      <c r="M991" s="8"/>
      <c r="N991" s="8"/>
    </row>
    <row r="992" spans="11:14" ht="15.75" customHeight="1" x14ac:dyDescent="0.3">
      <c r="K992" s="8"/>
      <c r="L992" s="8"/>
      <c r="M992" s="8"/>
      <c r="N992" s="8"/>
    </row>
    <row r="993" spans="11:14" ht="15.75" customHeight="1" x14ac:dyDescent="0.3">
      <c r="K993" s="8"/>
      <c r="L993" s="8"/>
      <c r="M993" s="8"/>
      <c r="N993" s="8"/>
    </row>
    <row r="994" spans="11:14" ht="15.75" customHeight="1" x14ac:dyDescent="0.3">
      <c r="K994" s="8"/>
      <c r="L994" s="8"/>
      <c r="M994" s="8"/>
      <c r="N994" s="8"/>
    </row>
    <row r="995" spans="11:14" ht="15.75" customHeight="1" x14ac:dyDescent="0.3">
      <c r="K995" s="8"/>
      <c r="L995" s="8"/>
      <c r="M995" s="8"/>
      <c r="N995" s="8"/>
    </row>
    <row r="996" spans="11:14" ht="15.75" customHeight="1" x14ac:dyDescent="0.3">
      <c r="K996" s="8"/>
      <c r="L996" s="8"/>
      <c r="M996" s="8"/>
      <c r="N996" s="8"/>
    </row>
    <row r="997" spans="11:14" ht="15.75" customHeight="1" x14ac:dyDescent="0.3">
      <c r="K997" s="8"/>
      <c r="L997" s="8"/>
      <c r="M997" s="8"/>
      <c r="N997" s="8"/>
    </row>
    <row r="998" spans="11:14" ht="15.75" customHeight="1" x14ac:dyDescent="0.3">
      <c r="K998" s="8"/>
      <c r="L998" s="8"/>
      <c r="M998" s="8"/>
      <c r="N998" s="8"/>
    </row>
    <row r="999" spans="11:14" ht="15.75" customHeight="1" x14ac:dyDescent="0.3">
      <c r="K999" s="8"/>
      <c r="L999" s="8"/>
      <c r="M999" s="8"/>
      <c r="N999" s="8"/>
    </row>
    <row r="1000" spans="11:14" ht="15.75" customHeight="1" x14ac:dyDescent="0.3">
      <c r="K1000" s="8"/>
      <c r="L1000" s="8"/>
      <c r="M1000" s="8"/>
      <c r="N1000" s="8"/>
    </row>
  </sheetData>
  <pageMargins left="0.7" right="0.7" top="0.75" bottom="0.75" header="0" footer="0"/>
  <pageSetup orientation="portrait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8BF33B-8457-4084-AB30-EB322D3F216F}">
  <dimension ref="A1:S1001"/>
  <sheetViews>
    <sheetView showGridLines="0" topLeftCell="A2" workbookViewId="0">
      <selection activeCell="K11" sqref="K11"/>
    </sheetView>
  </sheetViews>
  <sheetFormatPr defaultColWidth="14.5" defaultRowHeight="15.6" x14ac:dyDescent="0.3"/>
  <cols>
    <col min="1" max="1" width="48.796875" style="4" customWidth="1"/>
    <col min="2" max="2" width="1.296875" style="49" customWidth="1"/>
    <col min="3" max="3" width="1.19921875" style="47" customWidth="1"/>
    <col min="4" max="4" width="9.19921875" style="4" hidden="1" customWidth="1"/>
    <col min="5" max="5" width="9.296875" style="4" hidden="1" customWidth="1"/>
    <col min="6" max="6" width="9.19921875" style="4" hidden="1" customWidth="1"/>
    <col min="7" max="7" width="9.5" style="4" customWidth="1"/>
    <col min="8" max="10" width="9.19921875" style="4" customWidth="1"/>
    <col min="11" max="14" width="10.69921875" style="4" customWidth="1"/>
    <col min="15" max="26" width="8.69921875" style="4" customWidth="1"/>
    <col min="27" max="16384" width="14.5" style="4"/>
  </cols>
  <sheetData>
    <row r="1" spans="1:19" ht="58.5" customHeight="1" x14ac:dyDescent="0.45">
      <c r="A1" s="1" t="s">
        <v>1</v>
      </c>
      <c r="B1" s="48"/>
      <c r="C1" s="46"/>
      <c r="D1" s="3" t="s">
        <v>206</v>
      </c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</row>
    <row r="2" spans="1:19" ht="14.4" x14ac:dyDescent="0.3">
      <c r="A2" s="4" t="s">
        <v>2</v>
      </c>
    </row>
    <row r="3" spans="1:19" ht="14.4" x14ac:dyDescent="0.3">
      <c r="A3" s="4" t="s">
        <v>208</v>
      </c>
    </row>
    <row r="4" spans="1:19" ht="14.4" x14ac:dyDescent="0.3">
      <c r="A4" s="5" t="s">
        <v>4</v>
      </c>
      <c r="D4" s="5" t="s">
        <v>5</v>
      </c>
      <c r="E4" s="5" t="s">
        <v>6</v>
      </c>
      <c r="F4" s="5" t="s">
        <v>7</v>
      </c>
      <c r="G4" s="5" t="s">
        <v>8</v>
      </c>
      <c r="H4" s="5" t="s">
        <v>9</v>
      </c>
      <c r="I4" s="5" t="s">
        <v>10</v>
      </c>
      <c r="J4" s="5" t="s">
        <v>11</v>
      </c>
      <c r="K4" s="7">
        <v>45382</v>
      </c>
      <c r="L4" s="7">
        <v>45747</v>
      </c>
      <c r="M4" s="7">
        <v>46112</v>
      </c>
      <c r="N4" s="7">
        <v>46477</v>
      </c>
    </row>
    <row r="5" spans="1:19" ht="15" thickBot="1" x14ac:dyDescent="0.35">
      <c r="A5" s="50" t="s">
        <v>12</v>
      </c>
      <c r="B5" s="51"/>
      <c r="C5" s="52"/>
      <c r="D5" s="50" t="s">
        <v>13</v>
      </c>
      <c r="E5" s="50" t="s">
        <v>14</v>
      </c>
      <c r="F5" s="50" t="s">
        <v>15</v>
      </c>
      <c r="G5" s="50" t="s">
        <v>16</v>
      </c>
      <c r="H5" s="50" t="s">
        <v>17</v>
      </c>
      <c r="I5" s="50" t="s">
        <v>18</v>
      </c>
      <c r="J5" s="50" t="s">
        <v>19</v>
      </c>
      <c r="K5" s="53" t="s">
        <v>20</v>
      </c>
      <c r="L5" s="53" t="s">
        <v>21</v>
      </c>
      <c r="M5" s="53" t="s">
        <v>22</v>
      </c>
      <c r="N5" s="53" t="s">
        <v>23</v>
      </c>
    </row>
    <row r="6" spans="1:19" ht="15" thickTop="1" x14ac:dyDescent="0.3">
      <c r="A6" s="54"/>
      <c r="D6" s="54"/>
      <c r="E6" s="54"/>
      <c r="F6" s="54"/>
      <c r="G6" s="54"/>
      <c r="H6" s="54"/>
      <c r="I6" s="54"/>
      <c r="J6" s="54"/>
      <c r="K6" s="55"/>
      <c r="L6" s="55"/>
      <c r="M6" s="55"/>
      <c r="N6" s="55"/>
    </row>
    <row r="7" spans="1:19" x14ac:dyDescent="0.3">
      <c r="A7" t="str">
        <f>IS!A7</f>
        <v>Revenue from Operations</v>
      </c>
      <c r="G7" s="29">
        <f>IS!G7</f>
        <v>21051.54</v>
      </c>
      <c r="H7" s="29">
        <f>IS!H7</f>
        <v>21644</v>
      </c>
      <c r="I7" s="29">
        <f>IS!I7</f>
        <v>28799</v>
      </c>
      <c r="J7" s="29">
        <f>IS!J7</f>
        <v>40575</v>
      </c>
      <c r="K7" s="57">
        <f ca="1">IS!K7</f>
        <v>53142.15848588325</v>
      </c>
      <c r="L7" s="57">
        <f ca="1">IS!L7</f>
        <v>68752.181627029946</v>
      </c>
      <c r="M7" s="57">
        <f ca="1">IS!M7</f>
        <v>88082.979231111633</v>
      </c>
      <c r="N7" s="57">
        <f ca="1">IS!N7</f>
        <v>111960.3700410124</v>
      </c>
    </row>
    <row r="8" spans="1:19" ht="14.4" x14ac:dyDescent="0.3">
      <c r="K8" s="8"/>
      <c r="L8" s="8"/>
      <c r="M8" s="8"/>
      <c r="N8" s="8"/>
    </row>
    <row r="9" spans="1:19" ht="14.4" x14ac:dyDescent="0.3">
      <c r="A9" s="4" t="str">
        <f>IS!A12</f>
        <v xml:space="preserve">Employee benefit expense </v>
      </c>
      <c r="G9" s="29">
        <f>IS!G12</f>
        <v>1199.42</v>
      </c>
      <c r="H9" s="29">
        <f>IS!H12</f>
        <v>1065</v>
      </c>
      <c r="I9" s="29">
        <f>IS!I12</f>
        <v>1349</v>
      </c>
      <c r="J9" s="29">
        <f>IS!J12</f>
        <v>1647</v>
      </c>
      <c r="K9" s="37">
        <f ca="1">K7*K14</f>
        <v>2552.0784723483825</v>
      </c>
      <c r="L9" s="37">
        <f t="shared" ref="L9:N9" ca="1" si="0">L7*L14</f>
        <v>3301.7281882507423</v>
      </c>
      <c r="M9" s="37">
        <f t="shared" ca="1" si="0"/>
        <v>4230.062938368309</v>
      </c>
      <c r="N9" s="37">
        <f t="shared" ca="1" si="0"/>
        <v>5376.7415227164447</v>
      </c>
    </row>
    <row r="10" spans="1:19" ht="14.4" x14ac:dyDescent="0.3">
      <c r="A10" s="4" t="str">
        <f>IS!A13</f>
        <v>Cost of materials and components consumed</v>
      </c>
      <c r="G10" s="29">
        <f>IS!G13</f>
        <v>13042.34</v>
      </c>
      <c r="H10" s="29">
        <f>IS!H13</f>
        <v>13713</v>
      </c>
      <c r="I10" s="29">
        <f>IS!I13</f>
        <v>22108</v>
      </c>
      <c r="J10" s="29">
        <f>IS!J13</f>
        <v>26891</v>
      </c>
      <c r="K10" s="37">
        <f ca="1">K7*K15</f>
        <v>34444.581642413788</v>
      </c>
      <c r="L10" s="37">
        <f t="shared" ref="L10:N10" ca="1" si="1">L7*L15</f>
        <v>44562.362550165701</v>
      </c>
      <c r="M10" s="37">
        <f t="shared" ca="1" si="1"/>
        <v>57091.797847071139</v>
      </c>
      <c r="N10" s="37">
        <f t="shared" ca="1" si="1"/>
        <v>72568.149591005727</v>
      </c>
    </row>
    <row r="11" spans="1:19" ht="14.4" x14ac:dyDescent="0.3">
      <c r="A11" s="4" t="str">
        <f>IS!A23</f>
        <v>other expenses</v>
      </c>
      <c r="G11" s="29">
        <f>IS!G23</f>
        <v>2230.4699999999998</v>
      </c>
      <c r="H11" s="29">
        <f>IS!H23</f>
        <v>2441</v>
      </c>
      <c r="I11" s="29">
        <f>IS!I23</f>
        <v>2468</v>
      </c>
      <c r="J11" s="29">
        <f>IS!J23</f>
        <v>3694</v>
      </c>
      <c r="K11" s="37">
        <f ca="1">K7*K16</f>
        <v>5234.3458476291726</v>
      </c>
      <c r="L11" s="37">
        <f t="shared" ref="L11:N11" ca="1" si="2">L7*L16</f>
        <v>6771.887079266603</v>
      </c>
      <c r="M11" s="37">
        <f t="shared" ca="1" si="2"/>
        <v>8675.913619648165</v>
      </c>
      <c r="N11" s="37">
        <f t="shared" ca="1" si="2"/>
        <v>11027.766178878019</v>
      </c>
    </row>
    <row r="12" spans="1:19" ht="14.4" x14ac:dyDescent="0.3">
      <c r="K12" s="8"/>
      <c r="L12" s="8"/>
      <c r="M12" s="8"/>
      <c r="N12" s="8"/>
    </row>
    <row r="13" spans="1:19" ht="14.4" x14ac:dyDescent="0.3">
      <c r="A13" s="9" t="s">
        <v>209</v>
      </c>
      <c r="K13" s="8"/>
      <c r="L13" s="8"/>
      <c r="M13" s="8"/>
      <c r="N13" s="8"/>
    </row>
    <row r="14" spans="1:19" ht="14.4" x14ac:dyDescent="0.3">
      <c r="A14" s="4" t="str">
        <f>A9</f>
        <v xml:space="preserve">Employee benefit expense </v>
      </c>
      <c r="G14" s="34">
        <f>G9/G$7</f>
        <v>5.6975404174706458E-2</v>
      </c>
      <c r="H14" s="34">
        <f t="shared" ref="H14:J14" si="3">H9/H7</f>
        <v>4.9205322491221587E-2</v>
      </c>
      <c r="I14" s="34">
        <f>I9/I$7</f>
        <v>4.6841904232785864E-2</v>
      </c>
      <c r="J14" s="34">
        <f>J9/J$7</f>
        <v>4.0591497227356749E-2</v>
      </c>
      <c r="K14" s="56">
        <f>MEDIAN(G14:J14)</f>
        <v>4.8023613362003725E-2</v>
      </c>
      <c r="L14" s="56">
        <f>K14</f>
        <v>4.8023613362003725E-2</v>
      </c>
      <c r="M14" s="56">
        <f>K14</f>
        <v>4.8023613362003725E-2</v>
      </c>
      <c r="N14" s="56">
        <f>K14</f>
        <v>4.8023613362003725E-2</v>
      </c>
    </row>
    <row r="15" spans="1:19" ht="14.4" x14ac:dyDescent="0.3">
      <c r="A15" s="4" t="str">
        <f>A10</f>
        <v>Cost of materials and components consumed</v>
      </c>
      <c r="D15" s="9" t="s">
        <v>24</v>
      </c>
      <c r="E15" s="9" t="s">
        <v>25</v>
      </c>
      <c r="F15" s="9"/>
      <c r="G15" s="34">
        <f t="shared" ref="G15:G17" si="4">G10/G$7</f>
        <v>0.61954327331872161</v>
      </c>
      <c r="H15" s="34">
        <f>H10/H$7</f>
        <v>0.63357050452781372</v>
      </c>
      <c r="I15" s="34">
        <f t="shared" ref="I15:J16" si="5">I10/I$7</f>
        <v>0.76766554394249797</v>
      </c>
      <c r="J15" s="34">
        <f t="shared" si="5"/>
        <v>0.66274799753542823</v>
      </c>
      <c r="K15" s="56">
        <f>MEDIAN(G15:J15)</f>
        <v>0.64815925103162098</v>
      </c>
      <c r="L15" s="56">
        <f>K15</f>
        <v>0.64815925103162098</v>
      </c>
      <c r="M15" s="56">
        <f>K15</f>
        <v>0.64815925103162098</v>
      </c>
      <c r="N15" s="56">
        <f>K15</f>
        <v>0.64815925103162098</v>
      </c>
    </row>
    <row r="16" spans="1:19" ht="14.4" x14ac:dyDescent="0.3">
      <c r="A16" s="4" t="str">
        <f>A11</f>
        <v>other expenses</v>
      </c>
      <c r="D16" s="9"/>
      <c r="E16" s="9" t="s">
        <v>26</v>
      </c>
      <c r="F16" s="9"/>
      <c r="G16" s="34">
        <f t="shared" si="4"/>
        <v>0.10595281865364718</v>
      </c>
      <c r="H16" s="34">
        <f>H11/H$7</f>
        <v>0.11277952319349473</v>
      </c>
      <c r="I16" s="34">
        <f t="shared" si="5"/>
        <v>8.5697420049307263E-2</v>
      </c>
      <c r="J16" s="34">
        <f t="shared" si="5"/>
        <v>9.1041281577325939E-2</v>
      </c>
      <c r="K16" s="56">
        <f>MEDIAN(G16:J16)</f>
        <v>9.8497050115486567E-2</v>
      </c>
      <c r="L16" s="56">
        <f>K16</f>
        <v>9.8497050115486567E-2</v>
      </c>
      <c r="M16" s="56">
        <f>K16</f>
        <v>9.8497050115486567E-2</v>
      </c>
      <c r="N16" s="56">
        <f>K16</f>
        <v>9.8497050115486567E-2</v>
      </c>
    </row>
    <row r="17" spans="1:14" ht="14.4" x14ac:dyDescent="0.3">
      <c r="D17" s="9"/>
      <c r="E17" s="9" t="s">
        <v>27</v>
      </c>
      <c r="F17" s="9"/>
      <c r="G17" s="34"/>
      <c r="K17" s="8"/>
      <c r="L17" s="8"/>
      <c r="M17" s="8"/>
      <c r="N17" s="8"/>
    </row>
    <row r="18" spans="1:14" ht="14.4" x14ac:dyDescent="0.3">
      <c r="A18" s="4" t="str">
        <f>IS!A40</f>
        <v>PBT</v>
      </c>
      <c r="G18" s="29">
        <f>IS!G40</f>
        <v>2101.65</v>
      </c>
      <c r="H18" s="29">
        <f>IS!H40</f>
        <v>1327</v>
      </c>
      <c r="I18" s="29">
        <f>IS!I40</f>
        <v>2904</v>
      </c>
      <c r="J18" s="29">
        <f>IS!J40</f>
        <v>4446</v>
      </c>
      <c r="K18" s="8"/>
      <c r="L18" s="8"/>
      <c r="M18" s="8"/>
      <c r="N18" s="8"/>
    </row>
    <row r="19" spans="1:14" ht="14.4" x14ac:dyDescent="0.3">
      <c r="A19" s="4" t="str">
        <f>IS!A42</f>
        <v>Tax Expense</v>
      </c>
      <c r="G19" s="29">
        <f>IS!G42</f>
        <v>608.99</v>
      </c>
      <c r="H19" s="29">
        <f>IS!H42</f>
        <v>353</v>
      </c>
      <c r="I19" s="29">
        <f>IS!I42</f>
        <v>706</v>
      </c>
      <c r="J19" s="29">
        <f>IS!J42</f>
        <v>1173</v>
      </c>
      <c r="K19" s="8"/>
      <c r="L19" s="8"/>
      <c r="M19" s="8"/>
      <c r="N19" s="8"/>
    </row>
    <row r="20" spans="1:14" ht="14.4" x14ac:dyDescent="0.3">
      <c r="A20" s="4" t="s">
        <v>210</v>
      </c>
      <c r="G20" s="34">
        <f>G19/G18</f>
        <v>0.28976756358099587</v>
      </c>
      <c r="H20" s="34">
        <f t="shared" ref="H20:J20" si="6">H19/H18</f>
        <v>0.26601356443104746</v>
      </c>
      <c r="I20" s="34">
        <f t="shared" si="6"/>
        <v>0.24311294765840222</v>
      </c>
      <c r="J20" s="34">
        <f t="shared" si="6"/>
        <v>0.26383265856950067</v>
      </c>
      <c r="K20" s="56">
        <f ca="1">MEDIAN(G20:K20)</f>
        <v>0.26383265856950067</v>
      </c>
      <c r="L20" s="56">
        <f ca="1">K20</f>
        <v>0.26383265856950067</v>
      </c>
      <c r="M20" s="56">
        <f ca="1">L20</f>
        <v>0.26383265856950067</v>
      </c>
      <c r="N20" s="56">
        <f ca="1">M20</f>
        <v>0.26383265856950067</v>
      </c>
    </row>
    <row r="21" spans="1:14" ht="14.4" x14ac:dyDescent="0.3">
      <c r="K21" s="8"/>
      <c r="L21" s="8"/>
      <c r="M21" s="8"/>
      <c r="N21" s="8"/>
    </row>
    <row r="22" spans="1:14" ht="15.75" customHeight="1" x14ac:dyDescent="0.3">
      <c r="K22" s="8"/>
      <c r="L22" s="8"/>
      <c r="M22" s="8"/>
      <c r="N22" s="8"/>
    </row>
    <row r="23" spans="1:14" ht="15.75" customHeight="1" x14ac:dyDescent="0.3">
      <c r="K23" s="8"/>
      <c r="L23" s="8"/>
      <c r="M23" s="8"/>
      <c r="N23" s="8"/>
    </row>
    <row r="24" spans="1:14" ht="15.75" customHeight="1" x14ac:dyDescent="0.3">
      <c r="K24" s="8"/>
      <c r="L24" s="8"/>
      <c r="M24" s="8"/>
      <c r="N24" s="8"/>
    </row>
    <row r="25" spans="1:14" ht="15.75" customHeight="1" x14ac:dyDescent="0.3">
      <c r="K25" s="8"/>
      <c r="L25" s="8"/>
      <c r="M25" s="8"/>
      <c r="N25" s="8"/>
    </row>
    <row r="26" spans="1:14" ht="15.75" customHeight="1" x14ac:dyDescent="0.3">
      <c r="K26" s="8"/>
      <c r="L26" s="8"/>
      <c r="M26" s="8"/>
      <c r="N26" s="8"/>
    </row>
    <row r="27" spans="1:14" ht="15.75" customHeight="1" x14ac:dyDescent="0.3">
      <c r="K27" s="8"/>
      <c r="L27" s="8"/>
      <c r="M27" s="8"/>
      <c r="N27" s="8"/>
    </row>
    <row r="28" spans="1:14" ht="15.75" customHeight="1" x14ac:dyDescent="0.3">
      <c r="K28" s="8"/>
      <c r="L28" s="8"/>
      <c r="M28" s="8"/>
      <c r="N28" s="8"/>
    </row>
    <row r="29" spans="1:14" ht="15.75" customHeight="1" x14ac:dyDescent="0.3">
      <c r="K29" s="8"/>
      <c r="L29" s="8"/>
      <c r="M29" s="8"/>
      <c r="N29" s="8"/>
    </row>
    <row r="30" spans="1:14" ht="15.75" customHeight="1" x14ac:dyDescent="0.3">
      <c r="K30" s="8"/>
      <c r="L30" s="8"/>
      <c r="M30" s="8"/>
      <c r="N30" s="8"/>
    </row>
    <row r="31" spans="1:14" ht="15.75" customHeight="1" x14ac:dyDescent="0.3">
      <c r="K31" s="8"/>
      <c r="L31" s="8"/>
      <c r="M31" s="8"/>
      <c r="N31" s="8"/>
    </row>
    <row r="32" spans="1:14" ht="15.75" customHeight="1" x14ac:dyDescent="0.3">
      <c r="K32" s="8"/>
      <c r="L32" s="8"/>
      <c r="M32" s="8"/>
      <c r="N32" s="8"/>
    </row>
    <row r="33" spans="11:14" ht="15.75" customHeight="1" x14ac:dyDescent="0.3">
      <c r="K33" s="8"/>
      <c r="L33" s="8"/>
      <c r="M33" s="8"/>
      <c r="N33" s="8"/>
    </row>
    <row r="34" spans="11:14" ht="15.75" customHeight="1" x14ac:dyDescent="0.3">
      <c r="K34" s="8"/>
      <c r="L34" s="8"/>
      <c r="M34" s="8"/>
      <c r="N34" s="8"/>
    </row>
    <row r="35" spans="11:14" ht="15.75" customHeight="1" x14ac:dyDescent="0.3">
      <c r="K35" s="8"/>
      <c r="L35" s="8"/>
      <c r="M35" s="8"/>
      <c r="N35" s="8"/>
    </row>
    <row r="36" spans="11:14" ht="15.75" customHeight="1" x14ac:dyDescent="0.3">
      <c r="K36" s="8"/>
      <c r="L36" s="8"/>
      <c r="M36" s="8"/>
      <c r="N36" s="8"/>
    </row>
    <row r="37" spans="11:14" ht="15.75" customHeight="1" x14ac:dyDescent="0.3">
      <c r="K37" s="8"/>
      <c r="L37" s="8"/>
      <c r="M37" s="8"/>
      <c r="N37" s="8"/>
    </row>
    <row r="38" spans="11:14" ht="15.75" customHeight="1" x14ac:dyDescent="0.3">
      <c r="K38" s="8"/>
      <c r="L38" s="8"/>
      <c r="M38" s="8"/>
      <c r="N38" s="8"/>
    </row>
    <row r="39" spans="11:14" ht="15.75" customHeight="1" x14ac:dyDescent="0.3">
      <c r="K39" s="8"/>
      <c r="L39" s="8"/>
      <c r="M39" s="8"/>
      <c r="N39" s="8"/>
    </row>
    <row r="40" spans="11:14" ht="15.75" customHeight="1" x14ac:dyDescent="0.3">
      <c r="K40" s="8"/>
      <c r="L40" s="8"/>
      <c r="M40" s="8"/>
      <c r="N40" s="8"/>
    </row>
    <row r="41" spans="11:14" ht="15.75" customHeight="1" x14ac:dyDescent="0.3">
      <c r="K41" s="8"/>
      <c r="L41" s="8"/>
      <c r="M41" s="8"/>
      <c r="N41" s="8"/>
    </row>
    <row r="42" spans="11:14" ht="15.75" customHeight="1" x14ac:dyDescent="0.3">
      <c r="K42" s="8"/>
      <c r="L42" s="8"/>
      <c r="M42" s="8"/>
      <c r="N42" s="8"/>
    </row>
    <row r="43" spans="11:14" ht="15.75" customHeight="1" x14ac:dyDescent="0.3">
      <c r="K43" s="8"/>
      <c r="L43" s="8"/>
      <c r="M43" s="8"/>
      <c r="N43" s="8"/>
    </row>
    <row r="44" spans="11:14" ht="15.75" customHeight="1" x14ac:dyDescent="0.3">
      <c r="K44" s="8"/>
      <c r="L44" s="8"/>
      <c r="M44" s="8"/>
      <c r="N44" s="8"/>
    </row>
    <row r="45" spans="11:14" ht="15.75" customHeight="1" x14ac:dyDescent="0.3">
      <c r="K45" s="8"/>
      <c r="L45" s="8"/>
      <c r="M45" s="8"/>
      <c r="N45" s="8"/>
    </row>
    <row r="46" spans="11:14" ht="15.75" customHeight="1" x14ac:dyDescent="0.3">
      <c r="K46" s="8"/>
      <c r="L46" s="8"/>
      <c r="M46" s="8"/>
      <c r="N46" s="8"/>
    </row>
    <row r="47" spans="11:14" ht="15.75" customHeight="1" x14ac:dyDescent="0.3">
      <c r="K47" s="8"/>
      <c r="L47" s="8"/>
      <c r="M47" s="8"/>
      <c r="N47" s="8"/>
    </row>
    <row r="48" spans="11:14" ht="15.75" customHeight="1" x14ac:dyDescent="0.3">
      <c r="K48" s="8"/>
      <c r="L48" s="8"/>
      <c r="M48" s="8"/>
      <c r="N48" s="8"/>
    </row>
    <row r="49" spans="11:14" ht="15.75" customHeight="1" x14ac:dyDescent="0.3">
      <c r="K49" s="8"/>
      <c r="L49" s="8"/>
      <c r="M49" s="8"/>
      <c r="N49" s="8"/>
    </row>
    <row r="50" spans="11:14" ht="15.75" customHeight="1" x14ac:dyDescent="0.3">
      <c r="K50" s="8"/>
      <c r="L50" s="8"/>
      <c r="M50" s="8"/>
      <c r="N50" s="8"/>
    </row>
    <row r="51" spans="11:14" ht="15.75" customHeight="1" x14ac:dyDescent="0.3">
      <c r="K51" s="8"/>
      <c r="L51" s="8"/>
      <c r="M51" s="8"/>
      <c r="N51" s="8"/>
    </row>
    <row r="52" spans="11:14" ht="15.75" customHeight="1" x14ac:dyDescent="0.3">
      <c r="K52" s="8"/>
      <c r="L52" s="8"/>
      <c r="M52" s="8"/>
      <c r="N52" s="8"/>
    </row>
    <row r="53" spans="11:14" ht="15.75" customHeight="1" x14ac:dyDescent="0.3">
      <c r="K53" s="8"/>
      <c r="L53" s="8"/>
      <c r="M53" s="8"/>
      <c r="N53" s="8"/>
    </row>
    <row r="54" spans="11:14" ht="15.75" customHeight="1" x14ac:dyDescent="0.3">
      <c r="K54" s="8"/>
      <c r="L54" s="8"/>
      <c r="M54" s="8"/>
      <c r="N54" s="8"/>
    </row>
    <row r="55" spans="11:14" ht="15.75" customHeight="1" x14ac:dyDescent="0.3">
      <c r="K55" s="8"/>
      <c r="L55" s="8"/>
      <c r="M55" s="8"/>
      <c r="N55" s="8"/>
    </row>
    <row r="56" spans="11:14" ht="15.75" customHeight="1" x14ac:dyDescent="0.3">
      <c r="K56" s="8"/>
      <c r="L56" s="8"/>
      <c r="M56" s="8"/>
      <c r="N56" s="8"/>
    </row>
    <row r="57" spans="11:14" ht="15.75" customHeight="1" x14ac:dyDescent="0.3">
      <c r="K57" s="8"/>
      <c r="L57" s="8"/>
      <c r="M57" s="8"/>
      <c r="N57" s="8"/>
    </row>
    <row r="58" spans="11:14" ht="15.75" customHeight="1" x14ac:dyDescent="0.3">
      <c r="K58" s="8"/>
      <c r="L58" s="8"/>
      <c r="M58" s="8"/>
      <c r="N58" s="8"/>
    </row>
    <row r="59" spans="11:14" ht="15.75" customHeight="1" x14ac:dyDescent="0.3">
      <c r="K59" s="8"/>
      <c r="L59" s="8"/>
      <c r="M59" s="8"/>
      <c r="N59" s="8"/>
    </row>
    <row r="60" spans="11:14" ht="15.75" customHeight="1" x14ac:dyDescent="0.3">
      <c r="K60" s="8"/>
      <c r="L60" s="8"/>
      <c r="M60" s="8"/>
      <c r="N60" s="8"/>
    </row>
    <row r="61" spans="11:14" ht="15.75" customHeight="1" x14ac:dyDescent="0.3">
      <c r="K61" s="8"/>
      <c r="L61" s="8"/>
      <c r="M61" s="8"/>
      <c r="N61" s="8"/>
    </row>
    <row r="62" spans="11:14" ht="15.75" customHeight="1" x14ac:dyDescent="0.3">
      <c r="K62" s="8"/>
      <c r="L62" s="8"/>
      <c r="M62" s="8"/>
      <c r="N62" s="8"/>
    </row>
    <row r="63" spans="11:14" ht="15.75" customHeight="1" x14ac:dyDescent="0.3">
      <c r="K63" s="8"/>
      <c r="L63" s="8"/>
      <c r="M63" s="8"/>
      <c r="N63" s="8"/>
    </row>
    <row r="64" spans="11:14" ht="15.75" customHeight="1" x14ac:dyDescent="0.3">
      <c r="K64" s="8"/>
      <c r="L64" s="8"/>
      <c r="M64" s="8"/>
      <c r="N64" s="8"/>
    </row>
    <row r="65" spans="11:14" ht="15.75" customHeight="1" x14ac:dyDescent="0.3">
      <c r="K65" s="8"/>
      <c r="L65" s="8"/>
      <c r="M65" s="8"/>
      <c r="N65" s="8"/>
    </row>
    <row r="66" spans="11:14" ht="15.75" customHeight="1" x14ac:dyDescent="0.3">
      <c r="K66" s="8"/>
      <c r="L66" s="8"/>
      <c r="M66" s="8"/>
      <c r="N66" s="8"/>
    </row>
    <row r="67" spans="11:14" ht="15.75" customHeight="1" x14ac:dyDescent="0.3">
      <c r="K67" s="8"/>
      <c r="L67" s="8"/>
      <c r="M67" s="8"/>
      <c r="N67" s="8"/>
    </row>
    <row r="68" spans="11:14" ht="15.75" customHeight="1" x14ac:dyDescent="0.3">
      <c r="K68" s="8"/>
      <c r="L68" s="8"/>
      <c r="M68" s="8"/>
      <c r="N68" s="8"/>
    </row>
    <row r="69" spans="11:14" ht="15.75" customHeight="1" x14ac:dyDescent="0.3">
      <c r="K69" s="8"/>
      <c r="L69" s="8"/>
      <c r="M69" s="8"/>
      <c r="N69" s="8"/>
    </row>
    <row r="70" spans="11:14" ht="15.75" customHeight="1" x14ac:dyDescent="0.3">
      <c r="K70" s="8"/>
      <c r="L70" s="8"/>
      <c r="M70" s="8"/>
      <c r="N70" s="8"/>
    </row>
    <row r="71" spans="11:14" ht="15.75" customHeight="1" x14ac:dyDescent="0.3">
      <c r="K71" s="8"/>
      <c r="L71" s="8"/>
      <c r="M71" s="8"/>
      <c r="N71" s="8"/>
    </row>
    <row r="72" spans="11:14" ht="15.75" customHeight="1" x14ac:dyDescent="0.3">
      <c r="K72" s="8"/>
      <c r="L72" s="8"/>
      <c r="M72" s="8"/>
      <c r="N72" s="8"/>
    </row>
    <row r="73" spans="11:14" ht="15.75" customHeight="1" x14ac:dyDescent="0.3">
      <c r="K73" s="8"/>
      <c r="L73" s="8"/>
      <c r="M73" s="8"/>
      <c r="N73" s="8"/>
    </row>
    <row r="74" spans="11:14" ht="15.75" customHeight="1" x14ac:dyDescent="0.3">
      <c r="K74" s="8"/>
      <c r="L74" s="8"/>
      <c r="M74" s="8"/>
      <c r="N74" s="8"/>
    </row>
    <row r="75" spans="11:14" ht="15.75" customHeight="1" x14ac:dyDescent="0.3">
      <c r="K75" s="8"/>
      <c r="L75" s="8"/>
      <c r="M75" s="8"/>
      <c r="N75" s="8"/>
    </row>
    <row r="76" spans="11:14" ht="15.75" customHeight="1" x14ac:dyDescent="0.3">
      <c r="K76" s="8"/>
      <c r="L76" s="8"/>
      <c r="M76" s="8"/>
      <c r="N76" s="8"/>
    </row>
    <row r="77" spans="11:14" ht="15.75" customHeight="1" x14ac:dyDescent="0.3">
      <c r="K77" s="8"/>
      <c r="L77" s="8"/>
      <c r="M77" s="8"/>
      <c r="N77" s="8"/>
    </row>
    <row r="78" spans="11:14" ht="15.75" customHeight="1" x14ac:dyDescent="0.3">
      <c r="K78" s="8"/>
      <c r="L78" s="8"/>
      <c r="M78" s="8"/>
      <c r="N78" s="8"/>
    </row>
    <row r="79" spans="11:14" ht="15.75" customHeight="1" x14ac:dyDescent="0.3">
      <c r="K79" s="8"/>
      <c r="L79" s="8"/>
      <c r="M79" s="8"/>
      <c r="N79" s="8"/>
    </row>
    <row r="80" spans="11:14" ht="15.75" customHeight="1" x14ac:dyDescent="0.3">
      <c r="K80" s="8"/>
      <c r="L80" s="8"/>
      <c r="M80" s="8"/>
      <c r="N80" s="8"/>
    </row>
    <row r="81" spans="11:14" ht="15.75" customHeight="1" x14ac:dyDescent="0.3">
      <c r="K81" s="8"/>
      <c r="L81" s="8"/>
      <c r="M81" s="8"/>
      <c r="N81" s="8"/>
    </row>
    <row r="82" spans="11:14" ht="15.75" customHeight="1" x14ac:dyDescent="0.3">
      <c r="K82" s="8"/>
      <c r="L82" s="8"/>
      <c r="M82" s="8"/>
      <c r="N82" s="8"/>
    </row>
    <row r="83" spans="11:14" ht="15.75" customHeight="1" x14ac:dyDescent="0.3">
      <c r="K83" s="8"/>
      <c r="L83" s="8"/>
      <c r="M83" s="8"/>
      <c r="N83" s="8"/>
    </row>
    <row r="84" spans="11:14" ht="15.75" customHeight="1" x14ac:dyDescent="0.3">
      <c r="K84" s="8"/>
      <c r="L84" s="8"/>
      <c r="M84" s="8"/>
      <c r="N84" s="8"/>
    </row>
    <row r="85" spans="11:14" ht="15.75" customHeight="1" x14ac:dyDescent="0.3">
      <c r="K85" s="8"/>
      <c r="L85" s="8"/>
      <c r="M85" s="8"/>
      <c r="N85" s="8"/>
    </row>
    <row r="86" spans="11:14" ht="15.75" customHeight="1" x14ac:dyDescent="0.3">
      <c r="K86" s="8"/>
      <c r="L86" s="8"/>
      <c r="M86" s="8"/>
      <c r="N86" s="8"/>
    </row>
    <row r="87" spans="11:14" ht="15.75" customHeight="1" x14ac:dyDescent="0.3">
      <c r="K87" s="8"/>
      <c r="L87" s="8"/>
      <c r="M87" s="8"/>
      <c r="N87" s="8"/>
    </row>
    <row r="88" spans="11:14" ht="15.75" customHeight="1" x14ac:dyDescent="0.3">
      <c r="K88" s="8"/>
      <c r="L88" s="8"/>
      <c r="M88" s="8"/>
      <c r="N88" s="8"/>
    </row>
    <row r="89" spans="11:14" ht="15.75" customHeight="1" x14ac:dyDescent="0.3">
      <c r="K89" s="8"/>
      <c r="L89" s="8"/>
      <c r="M89" s="8"/>
      <c r="N89" s="8"/>
    </row>
    <row r="90" spans="11:14" ht="15.75" customHeight="1" x14ac:dyDescent="0.3">
      <c r="K90" s="8"/>
      <c r="L90" s="8"/>
      <c r="M90" s="8"/>
      <c r="N90" s="8"/>
    </row>
    <row r="91" spans="11:14" ht="15.75" customHeight="1" x14ac:dyDescent="0.3">
      <c r="K91" s="8"/>
      <c r="L91" s="8"/>
      <c r="M91" s="8"/>
      <c r="N91" s="8"/>
    </row>
    <row r="92" spans="11:14" ht="15.75" customHeight="1" x14ac:dyDescent="0.3">
      <c r="K92" s="8"/>
      <c r="L92" s="8"/>
      <c r="M92" s="8"/>
      <c r="N92" s="8"/>
    </row>
    <row r="93" spans="11:14" ht="15.75" customHeight="1" x14ac:dyDescent="0.3">
      <c r="K93" s="8"/>
      <c r="L93" s="8"/>
      <c r="M93" s="8"/>
      <c r="N93" s="8"/>
    </row>
    <row r="94" spans="11:14" ht="15.75" customHeight="1" x14ac:dyDescent="0.3">
      <c r="K94" s="8"/>
      <c r="L94" s="8"/>
      <c r="M94" s="8"/>
      <c r="N94" s="8"/>
    </row>
    <row r="95" spans="11:14" ht="15.75" customHeight="1" x14ac:dyDescent="0.3">
      <c r="K95" s="8"/>
      <c r="L95" s="8"/>
      <c r="M95" s="8"/>
      <c r="N95" s="8"/>
    </row>
    <row r="96" spans="11:14" ht="15.75" customHeight="1" x14ac:dyDescent="0.3">
      <c r="K96" s="8"/>
      <c r="L96" s="8"/>
      <c r="M96" s="8"/>
      <c r="N96" s="8"/>
    </row>
    <row r="97" spans="11:14" ht="15.75" customHeight="1" x14ac:dyDescent="0.3">
      <c r="K97" s="8"/>
      <c r="L97" s="8"/>
      <c r="M97" s="8"/>
      <c r="N97" s="8"/>
    </row>
    <row r="98" spans="11:14" ht="15.75" customHeight="1" x14ac:dyDescent="0.3">
      <c r="K98" s="8"/>
      <c r="L98" s="8"/>
      <c r="M98" s="8"/>
      <c r="N98" s="8"/>
    </row>
    <row r="99" spans="11:14" ht="15.75" customHeight="1" x14ac:dyDescent="0.3">
      <c r="K99" s="8"/>
      <c r="L99" s="8"/>
      <c r="M99" s="8"/>
      <c r="N99" s="8"/>
    </row>
    <row r="100" spans="11:14" ht="15.75" customHeight="1" x14ac:dyDescent="0.3">
      <c r="K100" s="8"/>
      <c r="L100" s="8"/>
      <c r="M100" s="8"/>
      <c r="N100" s="8"/>
    </row>
    <row r="101" spans="11:14" ht="15.75" customHeight="1" x14ac:dyDescent="0.3">
      <c r="K101" s="8"/>
      <c r="L101" s="8"/>
      <c r="M101" s="8"/>
      <c r="N101" s="8"/>
    </row>
    <row r="102" spans="11:14" ht="15.75" customHeight="1" x14ac:dyDescent="0.3">
      <c r="K102" s="8"/>
      <c r="L102" s="8"/>
      <c r="M102" s="8"/>
      <c r="N102" s="8"/>
    </row>
    <row r="103" spans="11:14" ht="15.75" customHeight="1" x14ac:dyDescent="0.3">
      <c r="K103" s="8"/>
      <c r="L103" s="8"/>
      <c r="M103" s="8"/>
      <c r="N103" s="8"/>
    </row>
    <row r="104" spans="11:14" ht="15.75" customHeight="1" x14ac:dyDescent="0.3">
      <c r="K104" s="8"/>
      <c r="L104" s="8"/>
      <c r="M104" s="8"/>
      <c r="N104" s="8"/>
    </row>
    <row r="105" spans="11:14" ht="15.75" customHeight="1" x14ac:dyDescent="0.3">
      <c r="K105" s="8"/>
      <c r="L105" s="8"/>
      <c r="M105" s="8"/>
      <c r="N105" s="8"/>
    </row>
    <row r="106" spans="11:14" ht="15.75" customHeight="1" x14ac:dyDescent="0.3">
      <c r="K106" s="8"/>
      <c r="L106" s="8"/>
      <c r="M106" s="8"/>
      <c r="N106" s="8"/>
    </row>
    <row r="107" spans="11:14" ht="15.75" customHeight="1" x14ac:dyDescent="0.3">
      <c r="K107" s="8"/>
      <c r="L107" s="8"/>
      <c r="M107" s="8"/>
      <c r="N107" s="8"/>
    </row>
    <row r="108" spans="11:14" ht="15.75" customHeight="1" x14ac:dyDescent="0.3">
      <c r="K108" s="8"/>
      <c r="L108" s="8"/>
      <c r="M108" s="8"/>
      <c r="N108" s="8"/>
    </row>
    <row r="109" spans="11:14" ht="15.75" customHeight="1" x14ac:dyDescent="0.3">
      <c r="K109" s="8"/>
      <c r="L109" s="8"/>
      <c r="M109" s="8"/>
      <c r="N109" s="8"/>
    </row>
    <row r="110" spans="11:14" ht="15.75" customHeight="1" x14ac:dyDescent="0.3">
      <c r="K110" s="8"/>
      <c r="L110" s="8"/>
      <c r="M110" s="8"/>
      <c r="N110" s="8"/>
    </row>
    <row r="111" spans="11:14" ht="15.75" customHeight="1" x14ac:dyDescent="0.3">
      <c r="K111" s="8"/>
      <c r="L111" s="8"/>
      <c r="M111" s="8"/>
      <c r="N111" s="8"/>
    </row>
    <row r="112" spans="11:14" ht="15.75" customHeight="1" x14ac:dyDescent="0.3">
      <c r="K112" s="8"/>
      <c r="L112" s="8"/>
      <c r="M112" s="8"/>
      <c r="N112" s="8"/>
    </row>
    <row r="113" spans="11:14" ht="15.75" customHeight="1" x14ac:dyDescent="0.3">
      <c r="K113" s="8"/>
      <c r="L113" s="8"/>
      <c r="M113" s="8"/>
      <c r="N113" s="8"/>
    </row>
    <row r="114" spans="11:14" ht="15.75" customHeight="1" x14ac:dyDescent="0.3">
      <c r="K114" s="8"/>
      <c r="L114" s="8"/>
      <c r="M114" s="8"/>
      <c r="N114" s="8"/>
    </row>
    <row r="115" spans="11:14" ht="15.75" customHeight="1" x14ac:dyDescent="0.3">
      <c r="K115" s="8"/>
      <c r="L115" s="8"/>
      <c r="M115" s="8"/>
      <c r="N115" s="8"/>
    </row>
    <row r="116" spans="11:14" ht="15.75" customHeight="1" x14ac:dyDescent="0.3">
      <c r="K116" s="8"/>
      <c r="L116" s="8"/>
      <c r="M116" s="8"/>
      <c r="N116" s="8"/>
    </row>
    <row r="117" spans="11:14" ht="15.75" customHeight="1" x14ac:dyDescent="0.3">
      <c r="K117" s="8"/>
      <c r="L117" s="8"/>
      <c r="M117" s="8"/>
      <c r="N117" s="8"/>
    </row>
    <row r="118" spans="11:14" ht="15.75" customHeight="1" x14ac:dyDescent="0.3">
      <c r="K118" s="8"/>
      <c r="L118" s="8"/>
      <c r="M118" s="8"/>
      <c r="N118" s="8"/>
    </row>
    <row r="119" spans="11:14" ht="15.75" customHeight="1" x14ac:dyDescent="0.3">
      <c r="K119" s="8"/>
      <c r="L119" s="8"/>
      <c r="M119" s="8"/>
      <c r="N119" s="8"/>
    </row>
    <row r="120" spans="11:14" ht="15.75" customHeight="1" x14ac:dyDescent="0.3">
      <c r="K120" s="8"/>
      <c r="L120" s="8"/>
      <c r="M120" s="8"/>
      <c r="N120" s="8"/>
    </row>
    <row r="121" spans="11:14" ht="15.75" customHeight="1" x14ac:dyDescent="0.3">
      <c r="K121" s="8"/>
      <c r="L121" s="8"/>
      <c r="M121" s="8"/>
      <c r="N121" s="8"/>
    </row>
    <row r="122" spans="11:14" ht="15.75" customHeight="1" x14ac:dyDescent="0.3">
      <c r="K122" s="8"/>
      <c r="L122" s="8"/>
      <c r="M122" s="8"/>
      <c r="N122" s="8"/>
    </row>
    <row r="123" spans="11:14" ht="15.75" customHeight="1" x14ac:dyDescent="0.3">
      <c r="K123" s="8"/>
      <c r="L123" s="8"/>
      <c r="M123" s="8"/>
      <c r="N123" s="8"/>
    </row>
    <row r="124" spans="11:14" ht="15.75" customHeight="1" x14ac:dyDescent="0.3">
      <c r="K124" s="8"/>
      <c r="L124" s="8"/>
      <c r="M124" s="8"/>
      <c r="N124" s="8"/>
    </row>
    <row r="125" spans="11:14" ht="15.75" customHeight="1" x14ac:dyDescent="0.3">
      <c r="K125" s="8"/>
      <c r="L125" s="8"/>
      <c r="M125" s="8"/>
      <c r="N125" s="8"/>
    </row>
    <row r="126" spans="11:14" ht="15.75" customHeight="1" x14ac:dyDescent="0.3">
      <c r="K126" s="8"/>
      <c r="L126" s="8"/>
      <c r="M126" s="8"/>
      <c r="N126" s="8"/>
    </row>
    <row r="127" spans="11:14" ht="15.75" customHeight="1" x14ac:dyDescent="0.3">
      <c r="K127" s="8"/>
      <c r="L127" s="8"/>
      <c r="M127" s="8"/>
      <c r="N127" s="8"/>
    </row>
    <row r="128" spans="11:14" ht="15.75" customHeight="1" x14ac:dyDescent="0.3">
      <c r="K128" s="8"/>
      <c r="L128" s="8"/>
      <c r="M128" s="8"/>
      <c r="N128" s="8"/>
    </row>
    <row r="129" spans="11:14" ht="15.75" customHeight="1" x14ac:dyDescent="0.3">
      <c r="K129" s="8"/>
      <c r="L129" s="8"/>
      <c r="M129" s="8"/>
      <c r="N129" s="8"/>
    </row>
    <row r="130" spans="11:14" ht="15.75" customHeight="1" x14ac:dyDescent="0.3">
      <c r="K130" s="8"/>
      <c r="L130" s="8"/>
      <c r="M130" s="8"/>
      <c r="N130" s="8"/>
    </row>
    <row r="131" spans="11:14" ht="15.75" customHeight="1" x14ac:dyDescent="0.3">
      <c r="K131" s="8"/>
      <c r="L131" s="8"/>
      <c r="M131" s="8"/>
      <c r="N131" s="8"/>
    </row>
    <row r="132" spans="11:14" ht="15.75" customHeight="1" x14ac:dyDescent="0.3">
      <c r="K132" s="8"/>
      <c r="L132" s="8"/>
      <c r="M132" s="8"/>
      <c r="N132" s="8"/>
    </row>
    <row r="133" spans="11:14" ht="15.75" customHeight="1" x14ac:dyDescent="0.3">
      <c r="K133" s="8"/>
      <c r="L133" s="8"/>
      <c r="M133" s="8"/>
      <c r="N133" s="8"/>
    </row>
    <row r="134" spans="11:14" ht="15.75" customHeight="1" x14ac:dyDescent="0.3">
      <c r="K134" s="8"/>
      <c r="L134" s="8"/>
      <c r="M134" s="8"/>
      <c r="N134" s="8"/>
    </row>
    <row r="135" spans="11:14" ht="15.75" customHeight="1" x14ac:dyDescent="0.3">
      <c r="K135" s="8"/>
      <c r="L135" s="8"/>
      <c r="M135" s="8"/>
      <c r="N135" s="8"/>
    </row>
    <row r="136" spans="11:14" ht="15.75" customHeight="1" x14ac:dyDescent="0.3">
      <c r="K136" s="8"/>
      <c r="L136" s="8"/>
      <c r="M136" s="8"/>
      <c r="N136" s="8"/>
    </row>
    <row r="137" spans="11:14" ht="15.75" customHeight="1" x14ac:dyDescent="0.3">
      <c r="K137" s="8"/>
      <c r="L137" s="8"/>
      <c r="M137" s="8"/>
      <c r="N137" s="8"/>
    </row>
    <row r="138" spans="11:14" ht="15.75" customHeight="1" x14ac:dyDescent="0.3">
      <c r="K138" s="8"/>
      <c r="L138" s="8"/>
      <c r="M138" s="8"/>
      <c r="N138" s="8"/>
    </row>
    <row r="139" spans="11:14" ht="15.75" customHeight="1" x14ac:dyDescent="0.3">
      <c r="K139" s="8"/>
      <c r="L139" s="8"/>
      <c r="M139" s="8"/>
      <c r="N139" s="8"/>
    </row>
    <row r="140" spans="11:14" ht="15.75" customHeight="1" x14ac:dyDescent="0.3">
      <c r="K140" s="8"/>
      <c r="L140" s="8"/>
      <c r="M140" s="8"/>
      <c r="N140" s="8"/>
    </row>
    <row r="141" spans="11:14" ht="15.75" customHeight="1" x14ac:dyDescent="0.3">
      <c r="K141" s="8"/>
      <c r="L141" s="8"/>
      <c r="M141" s="8"/>
      <c r="N141" s="8"/>
    </row>
    <row r="142" spans="11:14" ht="15.75" customHeight="1" x14ac:dyDescent="0.3">
      <c r="K142" s="8"/>
      <c r="L142" s="8"/>
      <c r="M142" s="8"/>
      <c r="N142" s="8"/>
    </row>
    <row r="143" spans="11:14" ht="15.75" customHeight="1" x14ac:dyDescent="0.3">
      <c r="K143" s="8"/>
      <c r="L143" s="8"/>
      <c r="M143" s="8"/>
      <c r="N143" s="8"/>
    </row>
    <row r="144" spans="11:14" ht="15.75" customHeight="1" x14ac:dyDescent="0.3">
      <c r="K144" s="8"/>
      <c r="L144" s="8"/>
      <c r="M144" s="8"/>
      <c r="N144" s="8"/>
    </row>
    <row r="145" spans="11:14" ht="15.75" customHeight="1" x14ac:dyDescent="0.3">
      <c r="K145" s="8"/>
      <c r="L145" s="8"/>
      <c r="M145" s="8"/>
      <c r="N145" s="8"/>
    </row>
    <row r="146" spans="11:14" ht="15.75" customHeight="1" x14ac:dyDescent="0.3">
      <c r="K146" s="8"/>
      <c r="L146" s="8"/>
      <c r="M146" s="8"/>
      <c r="N146" s="8"/>
    </row>
    <row r="147" spans="11:14" ht="15.75" customHeight="1" x14ac:dyDescent="0.3">
      <c r="K147" s="8"/>
      <c r="L147" s="8"/>
      <c r="M147" s="8"/>
      <c r="N147" s="8"/>
    </row>
    <row r="148" spans="11:14" ht="15.75" customHeight="1" x14ac:dyDescent="0.3">
      <c r="K148" s="8"/>
      <c r="L148" s="8"/>
      <c r="M148" s="8"/>
      <c r="N148" s="8"/>
    </row>
    <row r="149" spans="11:14" ht="15.75" customHeight="1" x14ac:dyDescent="0.3">
      <c r="K149" s="8"/>
      <c r="L149" s="8"/>
      <c r="M149" s="8"/>
      <c r="N149" s="8"/>
    </row>
    <row r="150" spans="11:14" ht="15.75" customHeight="1" x14ac:dyDescent="0.3">
      <c r="K150" s="8"/>
      <c r="L150" s="8"/>
      <c r="M150" s="8"/>
      <c r="N150" s="8"/>
    </row>
    <row r="151" spans="11:14" ht="15.75" customHeight="1" x14ac:dyDescent="0.3">
      <c r="K151" s="8"/>
      <c r="L151" s="8"/>
      <c r="M151" s="8"/>
      <c r="N151" s="8"/>
    </row>
    <row r="152" spans="11:14" ht="15.75" customHeight="1" x14ac:dyDescent="0.3">
      <c r="K152" s="8"/>
      <c r="L152" s="8"/>
      <c r="M152" s="8"/>
      <c r="N152" s="8"/>
    </row>
    <row r="153" spans="11:14" ht="15.75" customHeight="1" x14ac:dyDescent="0.3">
      <c r="K153" s="8"/>
      <c r="L153" s="8"/>
      <c r="M153" s="8"/>
      <c r="N153" s="8"/>
    </row>
    <row r="154" spans="11:14" ht="15.75" customHeight="1" x14ac:dyDescent="0.3">
      <c r="K154" s="8"/>
      <c r="L154" s="8"/>
      <c r="M154" s="8"/>
      <c r="N154" s="8"/>
    </row>
    <row r="155" spans="11:14" ht="15.75" customHeight="1" x14ac:dyDescent="0.3">
      <c r="K155" s="8"/>
      <c r="L155" s="8"/>
      <c r="M155" s="8"/>
      <c r="N155" s="8"/>
    </row>
    <row r="156" spans="11:14" ht="15.75" customHeight="1" x14ac:dyDescent="0.3">
      <c r="K156" s="8"/>
      <c r="L156" s="8"/>
      <c r="M156" s="8"/>
      <c r="N156" s="8"/>
    </row>
    <row r="157" spans="11:14" ht="15.75" customHeight="1" x14ac:dyDescent="0.3">
      <c r="K157" s="8"/>
      <c r="L157" s="8"/>
      <c r="M157" s="8"/>
      <c r="N157" s="8"/>
    </row>
    <row r="158" spans="11:14" ht="15.75" customHeight="1" x14ac:dyDescent="0.3">
      <c r="K158" s="8"/>
      <c r="L158" s="8"/>
      <c r="M158" s="8"/>
      <c r="N158" s="8"/>
    </row>
    <row r="159" spans="11:14" ht="15.75" customHeight="1" x14ac:dyDescent="0.3">
      <c r="K159" s="8"/>
      <c r="L159" s="8"/>
      <c r="M159" s="8"/>
      <c r="N159" s="8"/>
    </row>
    <row r="160" spans="11:14" ht="15.75" customHeight="1" x14ac:dyDescent="0.3">
      <c r="K160" s="8"/>
      <c r="L160" s="8"/>
      <c r="M160" s="8"/>
      <c r="N160" s="8"/>
    </row>
    <row r="161" spans="11:14" ht="15.75" customHeight="1" x14ac:dyDescent="0.3">
      <c r="K161" s="8"/>
      <c r="L161" s="8"/>
      <c r="M161" s="8"/>
      <c r="N161" s="8"/>
    </row>
    <row r="162" spans="11:14" ht="15.75" customHeight="1" x14ac:dyDescent="0.3">
      <c r="K162" s="8"/>
      <c r="L162" s="8"/>
      <c r="M162" s="8"/>
      <c r="N162" s="8"/>
    </row>
    <row r="163" spans="11:14" ht="15.75" customHeight="1" x14ac:dyDescent="0.3">
      <c r="K163" s="8"/>
      <c r="L163" s="8"/>
      <c r="M163" s="8"/>
      <c r="N163" s="8"/>
    </row>
    <row r="164" spans="11:14" ht="15.75" customHeight="1" x14ac:dyDescent="0.3">
      <c r="K164" s="8"/>
      <c r="L164" s="8"/>
      <c r="M164" s="8"/>
      <c r="N164" s="8"/>
    </row>
    <row r="165" spans="11:14" ht="15.75" customHeight="1" x14ac:dyDescent="0.3">
      <c r="K165" s="8"/>
      <c r="L165" s="8"/>
      <c r="M165" s="8"/>
      <c r="N165" s="8"/>
    </row>
    <row r="166" spans="11:14" ht="15.75" customHeight="1" x14ac:dyDescent="0.3">
      <c r="K166" s="8"/>
      <c r="L166" s="8"/>
      <c r="M166" s="8"/>
      <c r="N166" s="8"/>
    </row>
    <row r="167" spans="11:14" ht="15.75" customHeight="1" x14ac:dyDescent="0.3">
      <c r="K167" s="8"/>
      <c r="L167" s="8"/>
      <c r="M167" s="8"/>
      <c r="N167" s="8"/>
    </row>
    <row r="168" spans="11:14" ht="15.75" customHeight="1" x14ac:dyDescent="0.3">
      <c r="K168" s="8"/>
      <c r="L168" s="8"/>
      <c r="M168" s="8"/>
      <c r="N168" s="8"/>
    </row>
    <row r="169" spans="11:14" ht="15.75" customHeight="1" x14ac:dyDescent="0.3">
      <c r="K169" s="8"/>
      <c r="L169" s="8"/>
      <c r="M169" s="8"/>
      <c r="N169" s="8"/>
    </row>
    <row r="170" spans="11:14" ht="15.75" customHeight="1" x14ac:dyDescent="0.3">
      <c r="K170" s="8"/>
      <c r="L170" s="8"/>
      <c r="M170" s="8"/>
      <c r="N170" s="8"/>
    </row>
    <row r="171" spans="11:14" ht="15.75" customHeight="1" x14ac:dyDescent="0.3">
      <c r="K171" s="8"/>
      <c r="L171" s="8"/>
      <c r="M171" s="8"/>
      <c r="N171" s="8"/>
    </row>
    <row r="172" spans="11:14" ht="15.75" customHeight="1" x14ac:dyDescent="0.3">
      <c r="K172" s="8"/>
      <c r="L172" s="8"/>
      <c r="M172" s="8"/>
      <c r="N172" s="8"/>
    </row>
    <row r="173" spans="11:14" ht="15.75" customHeight="1" x14ac:dyDescent="0.3">
      <c r="K173" s="8"/>
      <c r="L173" s="8"/>
      <c r="M173" s="8"/>
      <c r="N173" s="8"/>
    </row>
    <row r="174" spans="11:14" ht="15.75" customHeight="1" x14ac:dyDescent="0.3">
      <c r="K174" s="8"/>
      <c r="L174" s="8"/>
      <c r="M174" s="8"/>
      <c r="N174" s="8"/>
    </row>
    <row r="175" spans="11:14" ht="15.75" customHeight="1" x14ac:dyDescent="0.3">
      <c r="K175" s="8"/>
      <c r="L175" s="8"/>
      <c r="M175" s="8"/>
      <c r="N175" s="8"/>
    </row>
    <row r="176" spans="11:14" ht="15.75" customHeight="1" x14ac:dyDescent="0.3">
      <c r="K176" s="8"/>
      <c r="L176" s="8"/>
      <c r="M176" s="8"/>
      <c r="N176" s="8"/>
    </row>
    <row r="177" spans="11:14" ht="15.75" customHeight="1" x14ac:dyDescent="0.3">
      <c r="K177" s="8"/>
      <c r="L177" s="8"/>
      <c r="M177" s="8"/>
      <c r="N177" s="8"/>
    </row>
    <row r="178" spans="11:14" ht="15.75" customHeight="1" x14ac:dyDescent="0.3">
      <c r="K178" s="8"/>
      <c r="L178" s="8"/>
      <c r="M178" s="8"/>
      <c r="N178" s="8"/>
    </row>
    <row r="179" spans="11:14" ht="15.75" customHeight="1" x14ac:dyDescent="0.3">
      <c r="K179" s="8"/>
      <c r="L179" s="8"/>
      <c r="M179" s="8"/>
      <c r="N179" s="8"/>
    </row>
    <row r="180" spans="11:14" ht="15.75" customHeight="1" x14ac:dyDescent="0.3">
      <c r="K180" s="8"/>
      <c r="L180" s="8"/>
      <c r="M180" s="8"/>
      <c r="N180" s="8"/>
    </row>
    <row r="181" spans="11:14" ht="15.75" customHeight="1" x14ac:dyDescent="0.3">
      <c r="K181" s="8"/>
      <c r="L181" s="8"/>
      <c r="M181" s="8"/>
      <c r="N181" s="8"/>
    </row>
    <row r="182" spans="11:14" ht="15.75" customHeight="1" x14ac:dyDescent="0.3">
      <c r="K182" s="8"/>
      <c r="L182" s="8"/>
      <c r="M182" s="8"/>
      <c r="N182" s="8"/>
    </row>
    <row r="183" spans="11:14" ht="15.75" customHeight="1" x14ac:dyDescent="0.3">
      <c r="K183" s="8"/>
      <c r="L183" s="8"/>
      <c r="M183" s="8"/>
      <c r="N183" s="8"/>
    </row>
    <row r="184" spans="11:14" ht="15.75" customHeight="1" x14ac:dyDescent="0.3">
      <c r="K184" s="8"/>
      <c r="L184" s="8"/>
      <c r="M184" s="8"/>
      <c r="N184" s="8"/>
    </row>
    <row r="185" spans="11:14" ht="15.75" customHeight="1" x14ac:dyDescent="0.3">
      <c r="K185" s="8"/>
      <c r="L185" s="8"/>
      <c r="M185" s="8"/>
      <c r="N185" s="8"/>
    </row>
    <row r="186" spans="11:14" ht="15.75" customHeight="1" x14ac:dyDescent="0.3">
      <c r="K186" s="8"/>
      <c r="L186" s="8"/>
      <c r="M186" s="8"/>
      <c r="N186" s="8"/>
    </row>
    <row r="187" spans="11:14" ht="15.75" customHeight="1" x14ac:dyDescent="0.3">
      <c r="K187" s="8"/>
      <c r="L187" s="8"/>
      <c r="M187" s="8"/>
      <c r="N187" s="8"/>
    </row>
    <row r="188" spans="11:14" ht="15.75" customHeight="1" x14ac:dyDescent="0.3">
      <c r="K188" s="8"/>
      <c r="L188" s="8"/>
      <c r="M188" s="8"/>
      <c r="N188" s="8"/>
    </row>
    <row r="189" spans="11:14" ht="15.75" customHeight="1" x14ac:dyDescent="0.3">
      <c r="K189" s="8"/>
      <c r="L189" s="8"/>
      <c r="M189" s="8"/>
      <c r="N189" s="8"/>
    </row>
    <row r="190" spans="11:14" ht="15.75" customHeight="1" x14ac:dyDescent="0.3">
      <c r="K190" s="8"/>
      <c r="L190" s="8"/>
      <c r="M190" s="8"/>
      <c r="N190" s="8"/>
    </row>
    <row r="191" spans="11:14" ht="15.75" customHeight="1" x14ac:dyDescent="0.3">
      <c r="K191" s="8"/>
      <c r="L191" s="8"/>
      <c r="M191" s="8"/>
      <c r="N191" s="8"/>
    </row>
    <row r="192" spans="11:14" ht="15.75" customHeight="1" x14ac:dyDescent="0.3">
      <c r="K192" s="8"/>
      <c r="L192" s="8"/>
      <c r="M192" s="8"/>
      <c r="N192" s="8"/>
    </row>
    <row r="193" spans="11:14" ht="15.75" customHeight="1" x14ac:dyDescent="0.3">
      <c r="K193" s="8"/>
      <c r="L193" s="8"/>
      <c r="M193" s="8"/>
      <c r="N193" s="8"/>
    </row>
    <row r="194" spans="11:14" ht="15.75" customHeight="1" x14ac:dyDescent="0.3">
      <c r="K194" s="8"/>
      <c r="L194" s="8"/>
      <c r="M194" s="8"/>
      <c r="N194" s="8"/>
    </row>
    <row r="195" spans="11:14" ht="15.75" customHeight="1" x14ac:dyDescent="0.3">
      <c r="K195" s="8"/>
      <c r="L195" s="8"/>
      <c r="M195" s="8"/>
      <c r="N195" s="8"/>
    </row>
    <row r="196" spans="11:14" ht="15.75" customHeight="1" x14ac:dyDescent="0.3">
      <c r="K196" s="8"/>
      <c r="L196" s="8"/>
      <c r="M196" s="8"/>
      <c r="N196" s="8"/>
    </row>
    <row r="197" spans="11:14" ht="15.75" customHeight="1" x14ac:dyDescent="0.3">
      <c r="K197" s="8"/>
      <c r="L197" s="8"/>
      <c r="M197" s="8"/>
      <c r="N197" s="8"/>
    </row>
    <row r="198" spans="11:14" ht="15.75" customHeight="1" x14ac:dyDescent="0.3">
      <c r="K198" s="8"/>
      <c r="L198" s="8"/>
      <c r="M198" s="8"/>
      <c r="N198" s="8"/>
    </row>
    <row r="199" spans="11:14" ht="15.75" customHeight="1" x14ac:dyDescent="0.3">
      <c r="K199" s="8"/>
      <c r="L199" s="8"/>
      <c r="M199" s="8"/>
      <c r="N199" s="8"/>
    </row>
    <row r="200" spans="11:14" ht="15.75" customHeight="1" x14ac:dyDescent="0.3">
      <c r="K200" s="8"/>
      <c r="L200" s="8"/>
      <c r="M200" s="8"/>
      <c r="N200" s="8"/>
    </row>
    <row r="201" spans="11:14" ht="15.75" customHeight="1" x14ac:dyDescent="0.3">
      <c r="K201" s="8"/>
      <c r="L201" s="8"/>
      <c r="M201" s="8"/>
      <c r="N201" s="8"/>
    </row>
    <row r="202" spans="11:14" ht="15.75" customHeight="1" x14ac:dyDescent="0.3">
      <c r="K202" s="8"/>
      <c r="L202" s="8"/>
      <c r="M202" s="8"/>
      <c r="N202" s="8"/>
    </row>
    <row r="203" spans="11:14" ht="15.75" customHeight="1" x14ac:dyDescent="0.3">
      <c r="K203" s="8"/>
      <c r="L203" s="8"/>
      <c r="M203" s="8"/>
      <c r="N203" s="8"/>
    </row>
    <row r="204" spans="11:14" ht="15.75" customHeight="1" x14ac:dyDescent="0.3">
      <c r="K204" s="8"/>
      <c r="L204" s="8"/>
      <c r="M204" s="8"/>
      <c r="N204" s="8"/>
    </row>
    <row r="205" spans="11:14" ht="15.75" customHeight="1" x14ac:dyDescent="0.3">
      <c r="K205" s="8"/>
      <c r="L205" s="8"/>
      <c r="M205" s="8"/>
      <c r="N205" s="8"/>
    </row>
    <row r="206" spans="11:14" ht="15.75" customHeight="1" x14ac:dyDescent="0.3">
      <c r="K206" s="8"/>
      <c r="L206" s="8"/>
      <c r="M206" s="8"/>
      <c r="N206" s="8"/>
    </row>
    <row r="207" spans="11:14" ht="15.75" customHeight="1" x14ac:dyDescent="0.3">
      <c r="K207" s="8"/>
      <c r="L207" s="8"/>
      <c r="M207" s="8"/>
      <c r="N207" s="8"/>
    </row>
    <row r="208" spans="11:14" ht="15.75" customHeight="1" x14ac:dyDescent="0.3">
      <c r="K208" s="8"/>
      <c r="L208" s="8"/>
      <c r="M208" s="8"/>
      <c r="N208" s="8"/>
    </row>
    <row r="209" spans="11:14" ht="15.75" customHeight="1" x14ac:dyDescent="0.3">
      <c r="K209" s="8"/>
      <c r="L209" s="8"/>
      <c r="M209" s="8"/>
      <c r="N209" s="8"/>
    </row>
    <row r="210" spans="11:14" ht="15.75" customHeight="1" x14ac:dyDescent="0.3">
      <c r="K210" s="8"/>
      <c r="L210" s="8"/>
      <c r="M210" s="8"/>
      <c r="N210" s="8"/>
    </row>
    <row r="211" spans="11:14" ht="15.75" customHeight="1" x14ac:dyDescent="0.3">
      <c r="K211" s="8"/>
      <c r="L211" s="8"/>
      <c r="M211" s="8"/>
      <c r="N211" s="8"/>
    </row>
    <row r="212" spans="11:14" ht="15.75" customHeight="1" x14ac:dyDescent="0.3">
      <c r="K212" s="8"/>
      <c r="L212" s="8"/>
      <c r="M212" s="8"/>
      <c r="N212" s="8"/>
    </row>
    <row r="213" spans="11:14" ht="15.75" customHeight="1" x14ac:dyDescent="0.3">
      <c r="K213" s="8"/>
      <c r="L213" s="8"/>
      <c r="M213" s="8"/>
      <c r="N213" s="8"/>
    </row>
    <row r="214" spans="11:14" ht="15.75" customHeight="1" x14ac:dyDescent="0.3">
      <c r="K214" s="8"/>
      <c r="L214" s="8"/>
      <c r="M214" s="8"/>
      <c r="N214" s="8"/>
    </row>
    <row r="215" spans="11:14" ht="15.75" customHeight="1" x14ac:dyDescent="0.3">
      <c r="K215" s="8"/>
      <c r="L215" s="8"/>
      <c r="M215" s="8"/>
      <c r="N215" s="8"/>
    </row>
    <row r="216" spans="11:14" ht="15.75" customHeight="1" x14ac:dyDescent="0.3">
      <c r="K216" s="8"/>
      <c r="L216" s="8"/>
      <c r="M216" s="8"/>
      <c r="N216" s="8"/>
    </row>
    <row r="217" spans="11:14" ht="15.75" customHeight="1" x14ac:dyDescent="0.3">
      <c r="K217" s="8"/>
      <c r="L217" s="8"/>
      <c r="M217" s="8"/>
      <c r="N217" s="8"/>
    </row>
    <row r="218" spans="11:14" ht="15.75" customHeight="1" x14ac:dyDescent="0.3">
      <c r="K218" s="8"/>
      <c r="L218" s="8"/>
      <c r="M218" s="8"/>
      <c r="N218" s="8"/>
    </row>
    <row r="219" spans="11:14" ht="15.75" customHeight="1" x14ac:dyDescent="0.3">
      <c r="K219" s="8"/>
      <c r="L219" s="8"/>
      <c r="M219" s="8"/>
      <c r="N219" s="8"/>
    </row>
    <row r="220" spans="11:14" ht="15.75" customHeight="1" x14ac:dyDescent="0.3">
      <c r="K220" s="8"/>
      <c r="L220" s="8"/>
      <c r="M220" s="8"/>
      <c r="N220" s="8"/>
    </row>
    <row r="221" spans="11:14" ht="15.75" customHeight="1" x14ac:dyDescent="0.3">
      <c r="K221" s="8"/>
      <c r="L221" s="8"/>
      <c r="M221" s="8"/>
      <c r="N221" s="8"/>
    </row>
    <row r="222" spans="11:14" ht="15.75" customHeight="1" x14ac:dyDescent="0.3">
      <c r="K222" s="8"/>
      <c r="L222" s="8"/>
      <c r="M222" s="8"/>
      <c r="N222" s="8"/>
    </row>
    <row r="223" spans="11:14" ht="15.75" customHeight="1" x14ac:dyDescent="0.3">
      <c r="K223" s="8"/>
      <c r="L223" s="8"/>
      <c r="M223" s="8"/>
      <c r="N223" s="8"/>
    </row>
    <row r="224" spans="11:14" ht="15.75" customHeight="1" x14ac:dyDescent="0.3">
      <c r="K224" s="8"/>
      <c r="L224" s="8"/>
      <c r="M224" s="8"/>
      <c r="N224" s="8"/>
    </row>
    <row r="225" spans="11:14" ht="15.75" customHeight="1" x14ac:dyDescent="0.3">
      <c r="K225" s="8"/>
      <c r="L225" s="8"/>
      <c r="M225" s="8"/>
      <c r="N225" s="8"/>
    </row>
    <row r="226" spans="11:14" ht="15.75" customHeight="1" x14ac:dyDescent="0.3">
      <c r="K226" s="8"/>
      <c r="L226" s="8"/>
      <c r="M226" s="8"/>
      <c r="N226" s="8"/>
    </row>
    <row r="227" spans="11:14" ht="15.75" customHeight="1" x14ac:dyDescent="0.3">
      <c r="K227" s="8"/>
      <c r="L227" s="8"/>
      <c r="M227" s="8"/>
      <c r="N227" s="8"/>
    </row>
    <row r="228" spans="11:14" ht="15.75" customHeight="1" x14ac:dyDescent="0.3">
      <c r="K228" s="8"/>
      <c r="L228" s="8"/>
      <c r="M228" s="8"/>
      <c r="N228" s="8"/>
    </row>
    <row r="229" spans="11:14" ht="15.75" customHeight="1" x14ac:dyDescent="0.3">
      <c r="K229" s="8"/>
      <c r="L229" s="8"/>
      <c r="M229" s="8"/>
      <c r="N229" s="8"/>
    </row>
    <row r="230" spans="11:14" ht="15.75" customHeight="1" x14ac:dyDescent="0.3">
      <c r="K230" s="8"/>
      <c r="L230" s="8"/>
      <c r="M230" s="8"/>
      <c r="N230" s="8"/>
    </row>
    <row r="231" spans="11:14" ht="15.75" customHeight="1" x14ac:dyDescent="0.3">
      <c r="K231" s="8"/>
      <c r="L231" s="8"/>
      <c r="M231" s="8"/>
      <c r="N231" s="8"/>
    </row>
    <row r="232" spans="11:14" ht="15.75" customHeight="1" x14ac:dyDescent="0.3">
      <c r="K232" s="8"/>
      <c r="L232" s="8"/>
      <c r="M232" s="8"/>
      <c r="N232" s="8"/>
    </row>
    <row r="233" spans="11:14" ht="15.75" customHeight="1" x14ac:dyDescent="0.3">
      <c r="K233" s="8"/>
      <c r="L233" s="8"/>
      <c r="M233" s="8"/>
      <c r="N233" s="8"/>
    </row>
    <row r="234" spans="11:14" ht="15.75" customHeight="1" x14ac:dyDescent="0.3">
      <c r="K234" s="8"/>
      <c r="L234" s="8"/>
      <c r="M234" s="8"/>
      <c r="N234" s="8"/>
    </row>
    <row r="235" spans="11:14" ht="15.75" customHeight="1" x14ac:dyDescent="0.3">
      <c r="K235" s="8"/>
      <c r="L235" s="8"/>
      <c r="M235" s="8"/>
      <c r="N235" s="8"/>
    </row>
    <row r="236" spans="11:14" ht="15.75" customHeight="1" x14ac:dyDescent="0.3">
      <c r="K236" s="8"/>
      <c r="L236" s="8"/>
      <c r="M236" s="8"/>
      <c r="N236" s="8"/>
    </row>
    <row r="237" spans="11:14" ht="15.75" customHeight="1" x14ac:dyDescent="0.3">
      <c r="K237" s="8"/>
      <c r="L237" s="8"/>
      <c r="M237" s="8"/>
      <c r="N237" s="8"/>
    </row>
    <row r="238" spans="11:14" ht="15.75" customHeight="1" x14ac:dyDescent="0.3">
      <c r="K238" s="8"/>
      <c r="L238" s="8"/>
      <c r="M238" s="8"/>
      <c r="N238" s="8"/>
    </row>
    <row r="239" spans="11:14" ht="15.75" customHeight="1" x14ac:dyDescent="0.3">
      <c r="K239" s="8"/>
      <c r="L239" s="8"/>
      <c r="M239" s="8"/>
      <c r="N239" s="8"/>
    </row>
    <row r="240" spans="11:14" ht="15.75" customHeight="1" x14ac:dyDescent="0.3">
      <c r="K240" s="8"/>
      <c r="L240" s="8"/>
      <c r="M240" s="8"/>
      <c r="N240" s="8"/>
    </row>
    <row r="241" spans="11:14" ht="15.75" customHeight="1" x14ac:dyDescent="0.3">
      <c r="K241" s="8"/>
      <c r="L241" s="8"/>
      <c r="M241" s="8"/>
      <c r="N241" s="8"/>
    </row>
    <row r="242" spans="11:14" ht="15.75" customHeight="1" x14ac:dyDescent="0.3">
      <c r="K242" s="8"/>
      <c r="L242" s="8"/>
      <c r="M242" s="8"/>
      <c r="N242" s="8"/>
    </row>
    <row r="243" spans="11:14" ht="15.75" customHeight="1" x14ac:dyDescent="0.3">
      <c r="K243" s="8"/>
      <c r="L243" s="8"/>
      <c r="M243" s="8"/>
      <c r="N243" s="8"/>
    </row>
    <row r="244" spans="11:14" ht="15.75" customHeight="1" x14ac:dyDescent="0.3">
      <c r="K244" s="8"/>
      <c r="L244" s="8"/>
      <c r="M244" s="8"/>
      <c r="N244" s="8"/>
    </row>
    <row r="245" spans="11:14" ht="15.75" customHeight="1" x14ac:dyDescent="0.3">
      <c r="K245" s="8"/>
      <c r="L245" s="8"/>
      <c r="M245" s="8"/>
      <c r="N245" s="8"/>
    </row>
    <row r="246" spans="11:14" ht="15.75" customHeight="1" x14ac:dyDescent="0.3">
      <c r="K246" s="8"/>
      <c r="L246" s="8"/>
      <c r="M246" s="8"/>
      <c r="N246" s="8"/>
    </row>
    <row r="247" spans="11:14" ht="15.75" customHeight="1" x14ac:dyDescent="0.3">
      <c r="K247" s="8"/>
      <c r="L247" s="8"/>
      <c r="M247" s="8"/>
      <c r="N247" s="8"/>
    </row>
    <row r="248" spans="11:14" ht="15.75" customHeight="1" x14ac:dyDescent="0.3">
      <c r="K248" s="8"/>
      <c r="L248" s="8"/>
      <c r="M248" s="8"/>
      <c r="N248" s="8"/>
    </row>
    <row r="249" spans="11:14" ht="15.75" customHeight="1" x14ac:dyDescent="0.3">
      <c r="K249" s="8"/>
      <c r="L249" s="8"/>
      <c r="M249" s="8"/>
      <c r="N249" s="8"/>
    </row>
    <row r="250" spans="11:14" ht="15.75" customHeight="1" x14ac:dyDescent="0.3">
      <c r="K250" s="8"/>
      <c r="L250" s="8"/>
      <c r="M250" s="8"/>
      <c r="N250" s="8"/>
    </row>
    <row r="251" spans="11:14" ht="15.75" customHeight="1" x14ac:dyDescent="0.3">
      <c r="K251" s="8"/>
      <c r="L251" s="8"/>
      <c r="M251" s="8"/>
      <c r="N251" s="8"/>
    </row>
    <row r="252" spans="11:14" ht="15.75" customHeight="1" x14ac:dyDescent="0.3">
      <c r="K252" s="8"/>
      <c r="L252" s="8"/>
      <c r="M252" s="8"/>
      <c r="N252" s="8"/>
    </row>
    <row r="253" spans="11:14" ht="15.75" customHeight="1" x14ac:dyDescent="0.3">
      <c r="K253" s="8"/>
      <c r="L253" s="8"/>
      <c r="M253" s="8"/>
      <c r="N253" s="8"/>
    </row>
    <row r="254" spans="11:14" ht="15.75" customHeight="1" x14ac:dyDescent="0.3">
      <c r="K254" s="8"/>
      <c r="L254" s="8"/>
      <c r="M254" s="8"/>
      <c r="N254" s="8"/>
    </row>
    <row r="255" spans="11:14" ht="15.75" customHeight="1" x14ac:dyDescent="0.3">
      <c r="K255" s="8"/>
      <c r="L255" s="8"/>
      <c r="M255" s="8"/>
      <c r="N255" s="8"/>
    </row>
    <row r="256" spans="11:14" ht="15.75" customHeight="1" x14ac:dyDescent="0.3">
      <c r="K256" s="8"/>
      <c r="L256" s="8"/>
      <c r="M256" s="8"/>
      <c r="N256" s="8"/>
    </row>
    <row r="257" spans="11:14" ht="15.75" customHeight="1" x14ac:dyDescent="0.3">
      <c r="K257" s="8"/>
      <c r="L257" s="8"/>
      <c r="M257" s="8"/>
      <c r="N257" s="8"/>
    </row>
    <row r="258" spans="11:14" ht="15.75" customHeight="1" x14ac:dyDescent="0.3">
      <c r="K258" s="8"/>
      <c r="L258" s="8"/>
      <c r="M258" s="8"/>
      <c r="N258" s="8"/>
    </row>
    <row r="259" spans="11:14" ht="15.75" customHeight="1" x14ac:dyDescent="0.3">
      <c r="K259" s="8"/>
      <c r="L259" s="8"/>
      <c r="M259" s="8"/>
      <c r="N259" s="8"/>
    </row>
    <row r="260" spans="11:14" ht="15.75" customHeight="1" x14ac:dyDescent="0.3">
      <c r="K260" s="8"/>
      <c r="L260" s="8"/>
      <c r="M260" s="8"/>
      <c r="N260" s="8"/>
    </row>
    <row r="261" spans="11:14" ht="15.75" customHeight="1" x14ac:dyDescent="0.3">
      <c r="K261" s="8"/>
      <c r="L261" s="8"/>
      <c r="M261" s="8"/>
      <c r="N261" s="8"/>
    </row>
    <row r="262" spans="11:14" ht="15.75" customHeight="1" x14ac:dyDescent="0.3">
      <c r="K262" s="8"/>
      <c r="L262" s="8"/>
      <c r="M262" s="8"/>
      <c r="N262" s="8"/>
    </row>
    <row r="263" spans="11:14" ht="15.75" customHeight="1" x14ac:dyDescent="0.3">
      <c r="K263" s="8"/>
      <c r="L263" s="8"/>
      <c r="M263" s="8"/>
      <c r="N263" s="8"/>
    </row>
    <row r="264" spans="11:14" ht="15.75" customHeight="1" x14ac:dyDescent="0.3">
      <c r="K264" s="8"/>
      <c r="L264" s="8"/>
      <c r="M264" s="8"/>
      <c r="N264" s="8"/>
    </row>
    <row r="265" spans="11:14" ht="15.75" customHeight="1" x14ac:dyDescent="0.3">
      <c r="K265" s="8"/>
      <c r="L265" s="8"/>
      <c r="M265" s="8"/>
      <c r="N265" s="8"/>
    </row>
    <row r="266" spans="11:14" ht="15.75" customHeight="1" x14ac:dyDescent="0.3">
      <c r="K266" s="8"/>
      <c r="L266" s="8"/>
      <c r="M266" s="8"/>
      <c r="N266" s="8"/>
    </row>
    <row r="267" spans="11:14" ht="15.75" customHeight="1" x14ac:dyDescent="0.3">
      <c r="K267" s="8"/>
      <c r="L267" s="8"/>
      <c r="M267" s="8"/>
      <c r="N267" s="8"/>
    </row>
    <row r="268" spans="11:14" ht="15.75" customHeight="1" x14ac:dyDescent="0.3">
      <c r="K268" s="8"/>
      <c r="L268" s="8"/>
      <c r="M268" s="8"/>
      <c r="N268" s="8"/>
    </row>
    <row r="269" spans="11:14" ht="15.75" customHeight="1" x14ac:dyDescent="0.3">
      <c r="K269" s="8"/>
      <c r="L269" s="8"/>
      <c r="M269" s="8"/>
      <c r="N269" s="8"/>
    </row>
    <row r="270" spans="11:14" ht="15.75" customHeight="1" x14ac:dyDescent="0.3">
      <c r="K270" s="8"/>
      <c r="L270" s="8"/>
      <c r="M270" s="8"/>
      <c r="N270" s="8"/>
    </row>
    <row r="271" spans="11:14" ht="15.75" customHeight="1" x14ac:dyDescent="0.3">
      <c r="K271" s="8"/>
      <c r="L271" s="8"/>
      <c r="M271" s="8"/>
      <c r="N271" s="8"/>
    </row>
    <row r="272" spans="11:14" ht="15.75" customHeight="1" x14ac:dyDescent="0.3">
      <c r="K272" s="8"/>
      <c r="L272" s="8"/>
      <c r="M272" s="8"/>
      <c r="N272" s="8"/>
    </row>
    <row r="273" spans="11:14" ht="15.75" customHeight="1" x14ac:dyDescent="0.3">
      <c r="K273" s="8"/>
      <c r="L273" s="8"/>
      <c r="M273" s="8"/>
      <c r="N273" s="8"/>
    </row>
    <row r="274" spans="11:14" ht="15.75" customHeight="1" x14ac:dyDescent="0.3">
      <c r="K274" s="8"/>
      <c r="L274" s="8"/>
      <c r="M274" s="8"/>
      <c r="N274" s="8"/>
    </row>
    <row r="275" spans="11:14" ht="15.75" customHeight="1" x14ac:dyDescent="0.3">
      <c r="K275" s="8"/>
      <c r="L275" s="8"/>
      <c r="M275" s="8"/>
      <c r="N275" s="8"/>
    </row>
    <row r="276" spans="11:14" ht="15.75" customHeight="1" x14ac:dyDescent="0.3">
      <c r="K276" s="8"/>
      <c r="L276" s="8"/>
      <c r="M276" s="8"/>
      <c r="N276" s="8"/>
    </row>
    <row r="277" spans="11:14" ht="15.75" customHeight="1" x14ac:dyDescent="0.3">
      <c r="K277" s="8"/>
      <c r="L277" s="8"/>
      <c r="M277" s="8"/>
      <c r="N277" s="8"/>
    </row>
    <row r="278" spans="11:14" ht="15.75" customHeight="1" x14ac:dyDescent="0.3">
      <c r="K278" s="8"/>
      <c r="L278" s="8"/>
      <c r="M278" s="8"/>
      <c r="N278" s="8"/>
    </row>
    <row r="279" spans="11:14" ht="15.75" customHeight="1" x14ac:dyDescent="0.3">
      <c r="K279" s="8"/>
      <c r="L279" s="8"/>
      <c r="M279" s="8"/>
      <c r="N279" s="8"/>
    </row>
    <row r="280" spans="11:14" ht="15.75" customHeight="1" x14ac:dyDescent="0.3">
      <c r="K280" s="8"/>
      <c r="L280" s="8"/>
      <c r="M280" s="8"/>
      <c r="N280" s="8"/>
    </row>
    <row r="281" spans="11:14" ht="15.75" customHeight="1" x14ac:dyDescent="0.3">
      <c r="K281" s="8"/>
      <c r="L281" s="8"/>
      <c r="M281" s="8"/>
      <c r="N281" s="8"/>
    </row>
    <row r="282" spans="11:14" ht="15.75" customHeight="1" x14ac:dyDescent="0.3">
      <c r="K282" s="8"/>
      <c r="L282" s="8"/>
      <c r="M282" s="8"/>
      <c r="N282" s="8"/>
    </row>
    <row r="283" spans="11:14" ht="15.75" customHeight="1" x14ac:dyDescent="0.3">
      <c r="K283" s="8"/>
      <c r="L283" s="8"/>
      <c r="M283" s="8"/>
      <c r="N283" s="8"/>
    </row>
    <row r="284" spans="11:14" ht="15.75" customHeight="1" x14ac:dyDescent="0.3">
      <c r="K284" s="8"/>
      <c r="L284" s="8"/>
      <c r="M284" s="8"/>
      <c r="N284" s="8"/>
    </row>
    <row r="285" spans="11:14" ht="15.75" customHeight="1" x14ac:dyDescent="0.3">
      <c r="K285" s="8"/>
      <c r="L285" s="8"/>
      <c r="M285" s="8"/>
      <c r="N285" s="8"/>
    </row>
    <row r="286" spans="11:14" ht="15.75" customHeight="1" x14ac:dyDescent="0.3">
      <c r="K286" s="8"/>
      <c r="L286" s="8"/>
      <c r="M286" s="8"/>
      <c r="N286" s="8"/>
    </row>
    <row r="287" spans="11:14" ht="15.75" customHeight="1" x14ac:dyDescent="0.3">
      <c r="K287" s="8"/>
      <c r="L287" s="8"/>
      <c r="M287" s="8"/>
      <c r="N287" s="8"/>
    </row>
    <row r="288" spans="11:14" ht="15.75" customHeight="1" x14ac:dyDescent="0.3">
      <c r="K288" s="8"/>
      <c r="L288" s="8"/>
      <c r="M288" s="8"/>
      <c r="N288" s="8"/>
    </row>
    <row r="289" spans="11:14" ht="15.75" customHeight="1" x14ac:dyDescent="0.3">
      <c r="K289" s="8"/>
      <c r="L289" s="8"/>
      <c r="M289" s="8"/>
      <c r="N289" s="8"/>
    </row>
    <row r="290" spans="11:14" ht="15.75" customHeight="1" x14ac:dyDescent="0.3">
      <c r="K290" s="8"/>
      <c r="L290" s="8"/>
      <c r="M290" s="8"/>
      <c r="N290" s="8"/>
    </row>
    <row r="291" spans="11:14" ht="15.75" customHeight="1" x14ac:dyDescent="0.3">
      <c r="K291" s="8"/>
      <c r="L291" s="8"/>
      <c r="M291" s="8"/>
      <c r="N291" s="8"/>
    </row>
    <row r="292" spans="11:14" ht="15.75" customHeight="1" x14ac:dyDescent="0.3">
      <c r="K292" s="8"/>
      <c r="L292" s="8"/>
      <c r="M292" s="8"/>
      <c r="N292" s="8"/>
    </row>
    <row r="293" spans="11:14" ht="15.75" customHeight="1" x14ac:dyDescent="0.3">
      <c r="K293" s="8"/>
      <c r="L293" s="8"/>
      <c r="M293" s="8"/>
      <c r="N293" s="8"/>
    </row>
    <row r="294" spans="11:14" ht="15.75" customHeight="1" x14ac:dyDescent="0.3">
      <c r="K294" s="8"/>
      <c r="L294" s="8"/>
      <c r="M294" s="8"/>
      <c r="N294" s="8"/>
    </row>
    <row r="295" spans="11:14" ht="15.75" customHeight="1" x14ac:dyDescent="0.3">
      <c r="K295" s="8"/>
      <c r="L295" s="8"/>
      <c r="M295" s="8"/>
      <c r="N295" s="8"/>
    </row>
    <row r="296" spans="11:14" ht="15.75" customHeight="1" x14ac:dyDescent="0.3">
      <c r="K296" s="8"/>
      <c r="L296" s="8"/>
      <c r="M296" s="8"/>
      <c r="N296" s="8"/>
    </row>
    <row r="297" spans="11:14" ht="15.75" customHeight="1" x14ac:dyDescent="0.3">
      <c r="K297" s="8"/>
      <c r="L297" s="8"/>
      <c r="M297" s="8"/>
      <c r="N297" s="8"/>
    </row>
    <row r="298" spans="11:14" ht="15.75" customHeight="1" x14ac:dyDescent="0.3">
      <c r="K298" s="8"/>
      <c r="L298" s="8"/>
      <c r="M298" s="8"/>
      <c r="N298" s="8"/>
    </row>
    <row r="299" spans="11:14" ht="15.75" customHeight="1" x14ac:dyDescent="0.3">
      <c r="K299" s="8"/>
      <c r="L299" s="8"/>
      <c r="M299" s="8"/>
      <c r="N299" s="8"/>
    </row>
    <row r="300" spans="11:14" ht="15.75" customHeight="1" x14ac:dyDescent="0.3">
      <c r="K300" s="8"/>
      <c r="L300" s="8"/>
      <c r="M300" s="8"/>
      <c r="N300" s="8"/>
    </row>
    <row r="301" spans="11:14" ht="15.75" customHeight="1" x14ac:dyDescent="0.3">
      <c r="K301" s="8"/>
      <c r="L301" s="8"/>
      <c r="M301" s="8"/>
      <c r="N301" s="8"/>
    </row>
    <row r="302" spans="11:14" ht="15.75" customHeight="1" x14ac:dyDescent="0.3">
      <c r="K302" s="8"/>
      <c r="L302" s="8"/>
      <c r="M302" s="8"/>
      <c r="N302" s="8"/>
    </row>
    <row r="303" spans="11:14" ht="15.75" customHeight="1" x14ac:dyDescent="0.3">
      <c r="K303" s="8"/>
      <c r="L303" s="8"/>
      <c r="M303" s="8"/>
      <c r="N303" s="8"/>
    </row>
    <row r="304" spans="11:14" ht="15.75" customHeight="1" x14ac:dyDescent="0.3">
      <c r="K304" s="8"/>
      <c r="L304" s="8"/>
      <c r="M304" s="8"/>
      <c r="N304" s="8"/>
    </row>
    <row r="305" spans="11:14" ht="15.75" customHeight="1" x14ac:dyDescent="0.3">
      <c r="K305" s="8"/>
      <c r="L305" s="8"/>
      <c r="M305" s="8"/>
      <c r="N305" s="8"/>
    </row>
    <row r="306" spans="11:14" ht="15.75" customHeight="1" x14ac:dyDescent="0.3">
      <c r="K306" s="8"/>
      <c r="L306" s="8"/>
      <c r="M306" s="8"/>
      <c r="N306" s="8"/>
    </row>
    <row r="307" spans="11:14" ht="15.75" customHeight="1" x14ac:dyDescent="0.3">
      <c r="K307" s="8"/>
      <c r="L307" s="8"/>
      <c r="M307" s="8"/>
      <c r="N307" s="8"/>
    </row>
    <row r="308" spans="11:14" ht="15.75" customHeight="1" x14ac:dyDescent="0.3">
      <c r="K308" s="8"/>
      <c r="L308" s="8"/>
      <c r="M308" s="8"/>
      <c r="N308" s="8"/>
    </row>
    <row r="309" spans="11:14" ht="15.75" customHeight="1" x14ac:dyDescent="0.3">
      <c r="K309" s="8"/>
      <c r="L309" s="8"/>
      <c r="M309" s="8"/>
      <c r="N309" s="8"/>
    </row>
    <row r="310" spans="11:14" ht="15.75" customHeight="1" x14ac:dyDescent="0.3">
      <c r="K310" s="8"/>
      <c r="L310" s="8"/>
      <c r="M310" s="8"/>
      <c r="N310" s="8"/>
    </row>
    <row r="311" spans="11:14" ht="15.75" customHeight="1" x14ac:dyDescent="0.3">
      <c r="K311" s="8"/>
      <c r="L311" s="8"/>
      <c r="M311" s="8"/>
      <c r="N311" s="8"/>
    </row>
    <row r="312" spans="11:14" ht="15.75" customHeight="1" x14ac:dyDescent="0.3">
      <c r="K312" s="8"/>
      <c r="L312" s="8"/>
      <c r="M312" s="8"/>
      <c r="N312" s="8"/>
    </row>
    <row r="313" spans="11:14" ht="15.75" customHeight="1" x14ac:dyDescent="0.3">
      <c r="K313" s="8"/>
      <c r="L313" s="8"/>
      <c r="M313" s="8"/>
      <c r="N313" s="8"/>
    </row>
    <row r="314" spans="11:14" ht="15.75" customHeight="1" x14ac:dyDescent="0.3">
      <c r="K314" s="8"/>
      <c r="L314" s="8"/>
      <c r="M314" s="8"/>
      <c r="N314" s="8"/>
    </row>
    <row r="315" spans="11:14" ht="15.75" customHeight="1" x14ac:dyDescent="0.3">
      <c r="K315" s="8"/>
      <c r="L315" s="8"/>
      <c r="M315" s="8"/>
      <c r="N315" s="8"/>
    </row>
    <row r="316" spans="11:14" ht="15.75" customHeight="1" x14ac:dyDescent="0.3">
      <c r="K316" s="8"/>
      <c r="L316" s="8"/>
      <c r="M316" s="8"/>
      <c r="N316" s="8"/>
    </row>
    <row r="317" spans="11:14" ht="15.75" customHeight="1" x14ac:dyDescent="0.3">
      <c r="K317" s="8"/>
      <c r="L317" s="8"/>
      <c r="M317" s="8"/>
      <c r="N317" s="8"/>
    </row>
    <row r="318" spans="11:14" ht="15.75" customHeight="1" x14ac:dyDescent="0.3">
      <c r="K318" s="8"/>
      <c r="L318" s="8"/>
      <c r="M318" s="8"/>
      <c r="N318" s="8"/>
    </row>
    <row r="319" spans="11:14" ht="15.75" customHeight="1" x14ac:dyDescent="0.3">
      <c r="K319" s="8"/>
      <c r="L319" s="8"/>
      <c r="M319" s="8"/>
      <c r="N319" s="8"/>
    </row>
    <row r="320" spans="11:14" ht="15.75" customHeight="1" x14ac:dyDescent="0.3">
      <c r="K320" s="8"/>
      <c r="L320" s="8"/>
      <c r="M320" s="8"/>
      <c r="N320" s="8"/>
    </row>
    <row r="321" spans="11:14" ht="15.75" customHeight="1" x14ac:dyDescent="0.3">
      <c r="K321" s="8"/>
      <c r="L321" s="8"/>
      <c r="M321" s="8"/>
      <c r="N321" s="8"/>
    </row>
    <row r="322" spans="11:14" ht="15.75" customHeight="1" x14ac:dyDescent="0.3">
      <c r="K322" s="8"/>
      <c r="L322" s="8"/>
      <c r="M322" s="8"/>
      <c r="N322" s="8"/>
    </row>
    <row r="323" spans="11:14" ht="15.75" customHeight="1" x14ac:dyDescent="0.3">
      <c r="K323" s="8"/>
      <c r="L323" s="8"/>
      <c r="M323" s="8"/>
      <c r="N323" s="8"/>
    </row>
    <row r="324" spans="11:14" ht="15.75" customHeight="1" x14ac:dyDescent="0.3">
      <c r="K324" s="8"/>
      <c r="L324" s="8"/>
      <c r="M324" s="8"/>
      <c r="N324" s="8"/>
    </row>
    <row r="325" spans="11:14" ht="15.75" customHeight="1" x14ac:dyDescent="0.3">
      <c r="K325" s="8"/>
      <c r="L325" s="8"/>
      <c r="M325" s="8"/>
      <c r="N325" s="8"/>
    </row>
    <row r="326" spans="11:14" ht="15.75" customHeight="1" x14ac:dyDescent="0.3">
      <c r="K326" s="8"/>
      <c r="L326" s="8"/>
      <c r="M326" s="8"/>
      <c r="N326" s="8"/>
    </row>
    <row r="327" spans="11:14" ht="15.75" customHeight="1" x14ac:dyDescent="0.3">
      <c r="K327" s="8"/>
      <c r="L327" s="8"/>
      <c r="M327" s="8"/>
      <c r="N327" s="8"/>
    </row>
    <row r="328" spans="11:14" ht="15.75" customHeight="1" x14ac:dyDescent="0.3">
      <c r="K328" s="8"/>
      <c r="L328" s="8"/>
      <c r="M328" s="8"/>
      <c r="N328" s="8"/>
    </row>
    <row r="329" spans="11:14" ht="15.75" customHeight="1" x14ac:dyDescent="0.3">
      <c r="K329" s="8"/>
      <c r="L329" s="8"/>
      <c r="M329" s="8"/>
      <c r="N329" s="8"/>
    </row>
    <row r="330" spans="11:14" ht="15.75" customHeight="1" x14ac:dyDescent="0.3">
      <c r="K330" s="8"/>
      <c r="L330" s="8"/>
      <c r="M330" s="8"/>
      <c r="N330" s="8"/>
    </row>
    <row r="331" spans="11:14" ht="15.75" customHeight="1" x14ac:dyDescent="0.3">
      <c r="K331" s="8"/>
      <c r="L331" s="8"/>
      <c r="M331" s="8"/>
      <c r="N331" s="8"/>
    </row>
    <row r="332" spans="11:14" ht="15.75" customHeight="1" x14ac:dyDescent="0.3">
      <c r="K332" s="8"/>
      <c r="L332" s="8"/>
      <c r="M332" s="8"/>
      <c r="N332" s="8"/>
    </row>
    <row r="333" spans="11:14" ht="15.75" customHeight="1" x14ac:dyDescent="0.3">
      <c r="K333" s="8"/>
      <c r="L333" s="8"/>
      <c r="M333" s="8"/>
      <c r="N333" s="8"/>
    </row>
    <row r="334" spans="11:14" ht="15.75" customHeight="1" x14ac:dyDescent="0.3">
      <c r="K334" s="8"/>
      <c r="L334" s="8"/>
      <c r="M334" s="8"/>
      <c r="N334" s="8"/>
    </row>
    <row r="335" spans="11:14" ht="15.75" customHeight="1" x14ac:dyDescent="0.3">
      <c r="K335" s="8"/>
      <c r="L335" s="8"/>
      <c r="M335" s="8"/>
      <c r="N335" s="8"/>
    </row>
    <row r="336" spans="11:14" ht="15.75" customHeight="1" x14ac:dyDescent="0.3">
      <c r="K336" s="8"/>
      <c r="L336" s="8"/>
      <c r="M336" s="8"/>
      <c r="N336" s="8"/>
    </row>
    <row r="337" spans="11:14" ht="15.75" customHeight="1" x14ac:dyDescent="0.3">
      <c r="K337" s="8"/>
      <c r="L337" s="8"/>
      <c r="M337" s="8"/>
      <c r="N337" s="8"/>
    </row>
    <row r="338" spans="11:14" ht="15.75" customHeight="1" x14ac:dyDescent="0.3">
      <c r="K338" s="8"/>
      <c r="L338" s="8"/>
      <c r="M338" s="8"/>
      <c r="N338" s="8"/>
    </row>
    <row r="339" spans="11:14" ht="15.75" customHeight="1" x14ac:dyDescent="0.3">
      <c r="K339" s="8"/>
      <c r="L339" s="8"/>
      <c r="M339" s="8"/>
      <c r="N339" s="8"/>
    </row>
    <row r="340" spans="11:14" ht="15.75" customHeight="1" x14ac:dyDescent="0.3">
      <c r="K340" s="8"/>
      <c r="L340" s="8"/>
      <c r="M340" s="8"/>
      <c r="N340" s="8"/>
    </row>
    <row r="341" spans="11:14" ht="15.75" customHeight="1" x14ac:dyDescent="0.3">
      <c r="K341" s="8"/>
      <c r="L341" s="8"/>
      <c r="M341" s="8"/>
      <c r="N341" s="8"/>
    </row>
    <row r="342" spans="11:14" ht="15.75" customHeight="1" x14ac:dyDescent="0.3">
      <c r="K342" s="8"/>
      <c r="L342" s="8"/>
      <c r="M342" s="8"/>
      <c r="N342" s="8"/>
    </row>
    <row r="343" spans="11:14" ht="15.75" customHeight="1" x14ac:dyDescent="0.3">
      <c r="K343" s="8"/>
      <c r="L343" s="8"/>
      <c r="M343" s="8"/>
      <c r="N343" s="8"/>
    </row>
    <row r="344" spans="11:14" ht="15.75" customHeight="1" x14ac:dyDescent="0.3">
      <c r="K344" s="8"/>
      <c r="L344" s="8"/>
      <c r="M344" s="8"/>
      <c r="N344" s="8"/>
    </row>
    <row r="345" spans="11:14" ht="15.75" customHeight="1" x14ac:dyDescent="0.3">
      <c r="K345" s="8"/>
      <c r="L345" s="8"/>
      <c r="M345" s="8"/>
      <c r="N345" s="8"/>
    </row>
    <row r="346" spans="11:14" ht="15.75" customHeight="1" x14ac:dyDescent="0.3">
      <c r="K346" s="8"/>
      <c r="L346" s="8"/>
      <c r="M346" s="8"/>
      <c r="N346" s="8"/>
    </row>
    <row r="347" spans="11:14" ht="15.75" customHeight="1" x14ac:dyDescent="0.3">
      <c r="K347" s="8"/>
      <c r="L347" s="8"/>
      <c r="M347" s="8"/>
      <c r="N347" s="8"/>
    </row>
    <row r="348" spans="11:14" ht="15.75" customHeight="1" x14ac:dyDescent="0.3">
      <c r="K348" s="8"/>
      <c r="L348" s="8"/>
      <c r="M348" s="8"/>
      <c r="N348" s="8"/>
    </row>
    <row r="349" spans="11:14" ht="15.75" customHeight="1" x14ac:dyDescent="0.3">
      <c r="K349" s="8"/>
      <c r="L349" s="8"/>
      <c r="M349" s="8"/>
      <c r="N349" s="8"/>
    </row>
    <row r="350" spans="11:14" ht="15.75" customHeight="1" x14ac:dyDescent="0.3">
      <c r="K350" s="8"/>
      <c r="L350" s="8"/>
      <c r="M350" s="8"/>
      <c r="N350" s="8"/>
    </row>
    <row r="351" spans="11:14" ht="15.75" customHeight="1" x14ac:dyDescent="0.3">
      <c r="K351" s="8"/>
      <c r="L351" s="8"/>
      <c r="M351" s="8"/>
      <c r="N351" s="8"/>
    </row>
    <row r="352" spans="11:14" ht="15.75" customHeight="1" x14ac:dyDescent="0.3">
      <c r="K352" s="8"/>
      <c r="L352" s="8"/>
      <c r="M352" s="8"/>
      <c r="N352" s="8"/>
    </row>
    <row r="353" spans="11:14" ht="15.75" customHeight="1" x14ac:dyDescent="0.3">
      <c r="K353" s="8"/>
      <c r="L353" s="8"/>
      <c r="M353" s="8"/>
      <c r="N353" s="8"/>
    </row>
    <row r="354" spans="11:14" ht="15.75" customHeight="1" x14ac:dyDescent="0.3">
      <c r="K354" s="8"/>
      <c r="L354" s="8"/>
      <c r="M354" s="8"/>
      <c r="N354" s="8"/>
    </row>
    <row r="355" spans="11:14" ht="15.75" customHeight="1" x14ac:dyDescent="0.3">
      <c r="K355" s="8"/>
      <c r="L355" s="8"/>
      <c r="M355" s="8"/>
      <c r="N355" s="8"/>
    </row>
    <row r="356" spans="11:14" ht="15.75" customHeight="1" x14ac:dyDescent="0.3">
      <c r="K356" s="8"/>
      <c r="L356" s="8"/>
      <c r="M356" s="8"/>
      <c r="N356" s="8"/>
    </row>
    <row r="357" spans="11:14" ht="15.75" customHeight="1" x14ac:dyDescent="0.3">
      <c r="K357" s="8"/>
      <c r="L357" s="8"/>
      <c r="M357" s="8"/>
      <c r="N357" s="8"/>
    </row>
    <row r="358" spans="11:14" ht="15.75" customHeight="1" x14ac:dyDescent="0.3">
      <c r="K358" s="8"/>
      <c r="L358" s="8"/>
      <c r="M358" s="8"/>
      <c r="N358" s="8"/>
    </row>
    <row r="359" spans="11:14" ht="15.75" customHeight="1" x14ac:dyDescent="0.3">
      <c r="K359" s="8"/>
      <c r="L359" s="8"/>
      <c r="M359" s="8"/>
      <c r="N359" s="8"/>
    </row>
    <row r="360" spans="11:14" ht="15.75" customHeight="1" x14ac:dyDescent="0.3">
      <c r="K360" s="8"/>
      <c r="L360" s="8"/>
      <c r="M360" s="8"/>
      <c r="N360" s="8"/>
    </row>
    <row r="361" spans="11:14" ht="15.75" customHeight="1" x14ac:dyDescent="0.3">
      <c r="K361" s="8"/>
      <c r="L361" s="8"/>
      <c r="M361" s="8"/>
      <c r="N361" s="8"/>
    </row>
    <row r="362" spans="11:14" ht="15.75" customHeight="1" x14ac:dyDescent="0.3">
      <c r="K362" s="8"/>
      <c r="L362" s="8"/>
      <c r="M362" s="8"/>
      <c r="N362" s="8"/>
    </row>
    <row r="363" spans="11:14" ht="15.75" customHeight="1" x14ac:dyDescent="0.3">
      <c r="K363" s="8"/>
      <c r="L363" s="8"/>
      <c r="M363" s="8"/>
      <c r="N363" s="8"/>
    </row>
    <row r="364" spans="11:14" ht="15.75" customHeight="1" x14ac:dyDescent="0.3">
      <c r="K364" s="8"/>
      <c r="L364" s="8"/>
      <c r="M364" s="8"/>
      <c r="N364" s="8"/>
    </row>
    <row r="365" spans="11:14" ht="15.75" customHeight="1" x14ac:dyDescent="0.3">
      <c r="K365" s="8"/>
      <c r="L365" s="8"/>
      <c r="M365" s="8"/>
      <c r="N365" s="8"/>
    </row>
    <row r="366" spans="11:14" ht="15.75" customHeight="1" x14ac:dyDescent="0.3">
      <c r="K366" s="8"/>
      <c r="L366" s="8"/>
      <c r="M366" s="8"/>
      <c r="N366" s="8"/>
    </row>
    <row r="367" spans="11:14" ht="15.75" customHeight="1" x14ac:dyDescent="0.3">
      <c r="K367" s="8"/>
      <c r="L367" s="8"/>
      <c r="M367" s="8"/>
      <c r="N367" s="8"/>
    </row>
    <row r="368" spans="11:14" ht="15.75" customHeight="1" x14ac:dyDescent="0.3">
      <c r="K368" s="8"/>
      <c r="L368" s="8"/>
      <c r="M368" s="8"/>
      <c r="N368" s="8"/>
    </row>
    <row r="369" spans="11:14" ht="15.75" customHeight="1" x14ac:dyDescent="0.3">
      <c r="K369" s="8"/>
      <c r="L369" s="8"/>
      <c r="M369" s="8"/>
      <c r="N369" s="8"/>
    </row>
    <row r="370" spans="11:14" ht="15.75" customHeight="1" x14ac:dyDescent="0.3">
      <c r="K370" s="8"/>
      <c r="L370" s="8"/>
      <c r="M370" s="8"/>
      <c r="N370" s="8"/>
    </row>
    <row r="371" spans="11:14" ht="15.75" customHeight="1" x14ac:dyDescent="0.3">
      <c r="K371" s="8"/>
      <c r="L371" s="8"/>
      <c r="M371" s="8"/>
      <c r="N371" s="8"/>
    </row>
    <row r="372" spans="11:14" ht="15.75" customHeight="1" x14ac:dyDescent="0.3">
      <c r="K372" s="8"/>
      <c r="L372" s="8"/>
      <c r="M372" s="8"/>
      <c r="N372" s="8"/>
    </row>
    <row r="373" spans="11:14" ht="15.75" customHeight="1" x14ac:dyDescent="0.3">
      <c r="K373" s="8"/>
      <c r="L373" s="8"/>
      <c r="M373" s="8"/>
      <c r="N373" s="8"/>
    </row>
    <row r="374" spans="11:14" ht="15.75" customHeight="1" x14ac:dyDescent="0.3">
      <c r="K374" s="8"/>
      <c r="L374" s="8"/>
      <c r="M374" s="8"/>
      <c r="N374" s="8"/>
    </row>
    <row r="375" spans="11:14" ht="15.75" customHeight="1" x14ac:dyDescent="0.3">
      <c r="K375" s="8"/>
      <c r="L375" s="8"/>
      <c r="M375" s="8"/>
      <c r="N375" s="8"/>
    </row>
    <row r="376" spans="11:14" ht="15.75" customHeight="1" x14ac:dyDescent="0.3">
      <c r="K376" s="8"/>
      <c r="L376" s="8"/>
      <c r="M376" s="8"/>
      <c r="N376" s="8"/>
    </row>
    <row r="377" spans="11:14" ht="15.75" customHeight="1" x14ac:dyDescent="0.3">
      <c r="K377" s="8"/>
      <c r="L377" s="8"/>
      <c r="M377" s="8"/>
      <c r="N377" s="8"/>
    </row>
    <row r="378" spans="11:14" ht="15.75" customHeight="1" x14ac:dyDescent="0.3">
      <c r="K378" s="8"/>
      <c r="L378" s="8"/>
      <c r="M378" s="8"/>
      <c r="N378" s="8"/>
    </row>
    <row r="379" spans="11:14" ht="15.75" customHeight="1" x14ac:dyDescent="0.3">
      <c r="K379" s="8"/>
      <c r="L379" s="8"/>
      <c r="M379" s="8"/>
      <c r="N379" s="8"/>
    </row>
    <row r="380" spans="11:14" ht="15.75" customHeight="1" x14ac:dyDescent="0.3">
      <c r="K380" s="8"/>
      <c r="L380" s="8"/>
      <c r="M380" s="8"/>
      <c r="N380" s="8"/>
    </row>
    <row r="381" spans="11:14" ht="15.75" customHeight="1" x14ac:dyDescent="0.3">
      <c r="K381" s="8"/>
      <c r="L381" s="8"/>
      <c r="M381" s="8"/>
      <c r="N381" s="8"/>
    </row>
    <row r="382" spans="11:14" ht="15.75" customHeight="1" x14ac:dyDescent="0.3">
      <c r="K382" s="8"/>
      <c r="L382" s="8"/>
      <c r="M382" s="8"/>
      <c r="N382" s="8"/>
    </row>
    <row r="383" spans="11:14" ht="15.75" customHeight="1" x14ac:dyDescent="0.3">
      <c r="K383" s="8"/>
      <c r="L383" s="8"/>
      <c r="M383" s="8"/>
      <c r="N383" s="8"/>
    </row>
    <row r="384" spans="11:14" ht="15.75" customHeight="1" x14ac:dyDescent="0.3">
      <c r="K384" s="8"/>
      <c r="L384" s="8"/>
      <c r="M384" s="8"/>
      <c r="N384" s="8"/>
    </row>
    <row r="385" spans="11:14" ht="15.75" customHeight="1" x14ac:dyDescent="0.3">
      <c r="K385" s="8"/>
      <c r="L385" s="8"/>
      <c r="M385" s="8"/>
      <c r="N385" s="8"/>
    </row>
    <row r="386" spans="11:14" ht="15.75" customHeight="1" x14ac:dyDescent="0.3">
      <c r="K386" s="8"/>
      <c r="L386" s="8"/>
      <c r="M386" s="8"/>
      <c r="N386" s="8"/>
    </row>
    <row r="387" spans="11:14" ht="15.75" customHeight="1" x14ac:dyDescent="0.3">
      <c r="K387" s="8"/>
      <c r="L387" s="8"/>
      <c r="M387" s="8"/>
      <c r="N387" s="8"/>
    </row>
    <row r="388" spans="11:14" ht="15.75" customHeight="1" x14ac:dyDescent="0.3">
      <c r="K388" s="8"/>
      <c r="L388" s="8"/>
      <c r="M388" s="8"/>
      <c r="N388" s="8"/>
    </row>
    <row r="389" spans="11:14" ht="15.75" customHeight="1" x14ac:dyDescent="0.3">
      <c r="K389" s="8"/>
      <c r="L389" s="8"/>
      <c r="M389" s="8"/>
      <c r="N389" s="8"/>
    </row>
    <row r="390" spans="11:14" ht="15.75" customHeight="1" x14ac:dyDescent="0.3">
      <c r="K390" s="8"/>
      <c r="L390" s="8"/>
      <c r="M390" s="8"/>
      <c r="N390" s="8"/>
    </row>
    <row r="391" spans="11:14" ht="15.75" customHeight="1" x14ac:dyDescent="0.3">
      <c r="K391" s="8"/>
      <c r="L391" s="8"/>
      <c r="M391" s="8"/>
      <c r="N391" s="8"/>
    </row>
    <row r="392" spans="11:14" ht="15.75" customHeight="1" x14ac:dyDescent="0.3">
      <c r="K392" s="8"/>
      <c r="L392" s="8"/>
      <c r="M392" s="8"/>
      <c r="N392" s="8"/>
    </row>
    <row r="393" spans="11:14" ht="15.75" customHeight="1" x14ac:dyDescent="0.3">
      <c r="K393" s="8"/>
      <c r="L393" s="8"/>
      <c r="M393" s="8"/>
      <c r="N393" s="8"/>
    </row>
    <row r="394" spans="11:14" ht="15.75" customHeight="1" x14ac:dyDescent="0.3">
      <c r="K394" s="8"/>
      <c r="L394" s="8"/>
      <c r="M394" s="8"/>
      <c r="N394" s="8"/>
    </row>
    <row r="395" spans="11:14" ht="15.75" customHeight="1" x14ac:dyDescent="0.3">
      <c r="K395" s="8"/>
      <c r="L395" s="8"/>
      <c r="M395" s="8"/>
      <c r="N395" s="8"/>
    </row>
    <row r="396" spans="11:14" ht="15.75" customHeight="1" x14ac:dyDescent="0.3">
      <c r="K396" s="8"/>
      <c r="L396" s="8"/>
      <c r="M396" s="8"/>
      <c r="N396" s="8"/>
    </row>
    <row r="397" spans="11:14" ht="15.75" customHeight="1" x14ac:dyDescent="0.3">
      <c r="K397" s="8"/>
      <c r="L397" s="8"/>
      <c r="M397" s="8"/>
      <c r="N397" s="8"/>
    </row>
    <row r="398" spans="11:14" ht="15.75" customHeight="1" x14ac:dyDescent="0.3">
      <c r="K398" s="8"/>
      <c r="L398" s="8"/>
      <c r="M398" s="8"/>
      <c r="N398" s="8"/>
    </row>
    <row r="399" spans="11:14" ht="15.75" customHeight="1" x14ac:dyDescent="0.3">
      <c r="K399" s="8"/>
      <c r="L399" s="8"/>
      <c r="M399" s="8"/>
      <c r="N399" s="8"/>
    </row>
    <row r="400" spans="11:14" ht="15.75" customHeight="1" x14ac:dyDescent="0.3">
      <c r="K400" s="8"/>
      <c r="L400" s="8"/>
      <c r="M400" s="8"/>
      <c r="N400" s="8"/>
    </row>
    <row r="401" spans="11:14" ht="15.75" customHeight="1" x14ac:dyDescent="0.3">
      <c r="K401" s="8"/>
      <c r="L401" s="8"/>
      <c r="M401" s="8"/>
      <c r="N401" s="8"/>
    </row>
    <row r="402" spans="11:14" ht="15.75" customHeight="1" x14ac:dyDescent="0.3">
      <c r="K402" s="8"/>
      <c r="L402" s="8"/>
      <c r="M402" s="8"/>
      <c r="N402" s="8"/>
    </row>
    <row r="403" spans="11:14" ht="15.75" customHeight="1" x14ac:dyDescent="0.3">
      <c r="K403" s="8"/>
      <c r="L403" s="8"/>
      <c r="M403" s="8"/>
      <c r="N403" s="8"/>
    </row>
    <row r="404" spans="11:14" ht="15.75" customHeight="1" x14ac:dyDescent="0.3">
      <c r="K404" s="8"/>
      <c r="L404" s="8"/>
      <c r="M404" s="8"/>
      <c r="N404" s="8"/>
    </row>
    <row r="405" spans="11:14" ht="15.75" customHeight="1" x14ac:dyDescent="0.3">
      <c r="K405" s="8"/>
      <c r="L405" s="8"/>
      <c r="M405" s="8"/>
      <c r="N405" s="8"/>
    </row>
    <row r="406" spans="11:14" ht="15.75" customHeight="1" x14ac:dyDescent="0.3">
      <c r="K406" s="8"/>
      <c r="L406" s="8"/>
      <c r="M406" s="8"/>
      <c r="N406" s="8"/>
    </row>
    <row r="407" spans="11:14" ht="15.75" customHeight="1" x14ac:dyDescent="0.3">
      <c r="K407" s="8"/>
      <c r="L407" s="8"/>
      <c r="M407" s="8"/>
      <c r="N407" s="8"/>
    </row>
    <row r="408" spans="11:14" ht="15.75" customHeight="1" x14ac:dyDescent="0.3">
      <c r="K408" s="8"/>
      <c r="L408" s="8"/>
      <c r="M408" s="8"/>
      <c r="N408" s="8"/>
    </row>
    <row r="409" spans="11:14" ht="15.75" customHeight="1" x14ac:dyDescent="0.3">
      <c r="K409" s="8"/>
      <c r="L409" s="8"/>
      <c r="M409" s="8"/>
      <c r="N409" s="8"/>
    </row>
    <row r="410" spans="11:14" ht="15.75" customHeight="1" x14ac:dyDescent="0.3">
      <c r="K410" s="8"/>
      <c r="L410" s="8"/>
      <c r="M410" s="8"/>
      <c r="N410" s="8"/>
    </row>
    <row r="411" spans="11:14" ht="15.75" customHeight="1" x14ac:dyDescent="0.3">
      <c r="K411" s="8"/>
      <c r="L411" s="8"/>
      <c r="M411" s="8"/>
      <c r="N411" s="8"/>
    </row>
    <row r="412" spans="11:14" ht="15.75" customHeight="1" x14ac:dyDescent="0.3">
      <c r="K412" s="8"/>
      <c r="L412" s="8"/>
      <c r="M412" s="8"/>
      <c r="N412" s="8"/>
    </row>
    <row r="413" spans="11:14" ht="15.75" customHeight="1" x14ac:dyDescent="0.3">
      <c r="K413" s="8"/>
      <c r="L413" s="8"/>
      <c r="M413" s="8"/>
      <c r="N413" s="8"/>
    </row>
    <row r="414" spans="11:14" ht="15.75" customHeight="1" x14ac:dyDescent="0.3">
      <c r="K414" s="8"/>
      <c r="L414" s="8"/>
      <c r="M414" s="8"/>
      <c r="N414" s="8"/>
    </row>
    <row r="415" spans="11:14" ht="15.75" customHeight="1" x14ac:dyDescent="0.3">
      <c r="K415" s="8"/>
      <c r="L415" s="8"/>
      <c r="M415" s="8"/>
      <c r="N415" s="8"/>
    </row>
    <row r="416" spans="11:14" ht="15.75" customHeight="1" x14ac:dyDescent="0.3">
      <c r="K416" s="8"/>
      <c r="L416" s="8"/>
      <c r="M416" s="8"/>
      <c r="N416" s="8"/>
    </row>
    <row r="417" spans="11:14" ht="15.75" customHeight="1" x14ac:dyDescent="0.3">
      <c r="K417" s="8"/>
      <c r="L417" s="8"/>
      <c r="M417" s="8"/>
      <c r="N417" s="8"/>
    </row>
    <row r="418" spans="11:14" ht="15.75" customHeight="1" x14ac:dyDescent="0.3">
      <c r="K418" s="8"/>
      <c r="L418" s="8"/>
      <c r="M418" s="8"/>
      <c r="N418" s="8"/>
    </row>
    <row r="419" spans="11:14" ht="15.75" customHeight="1" x14ac:dyDescent="0.3">
      <c r="K419" s="8"/>
      <c r="L419" s="8"/>
      <c r="M419" s="8"/>
      <c r="N419" s="8"/>
    </row>
    <row r="420" spans="11:14" ht="15.75" customHeight="1" x14ac:dyDescent="0.3">
      <c r="K420" s="8"/>
      <c r="L420" s="8"/>
      <c r="M420" s="8"/>
      <c r="N420" s="8"/>
    </row>
    <row r="421" spans="11:14" ht="15.75" customHeight="1" x14ac:dyDescent="0.3">
      <c r="K421" s="8"/>
      <c r="L421" s="8"/>
      <c r="M421" s="8"/>
      <c r="N421" s="8"/>
    </row>
    <row r="422" spans="11:14" ht="15.75" customHeight="1" x14ac:dyDescent="0.3">
      <c r="K422" s="8"/>
      <c r="L422" s="8"/>
      <c r="M422" s="8"/>
      <c r="N422" s="8"/>
    </row>
    <row r="423" spans="11:14" ht="15.75" customHeight="1" x14ac:dyDescent="0.3">
      <c r="K423" s="8"/>
      <c r="L423" s="8"/>
      <c r="M423" s="8"/>
      <c r="N423" s="8"/>
    </row>
    <row r="424" spans="11:14" ht="15.75" customHeight="1" x14ac:dyDescent="0.3">
      <c r="K424" s="8"/>
      <c r="L424" s="8"/>
      <c r="M424" s="8"/>
      <c r="N424" s="8"/>
    </row>
    <row r="425" spans="11:14" ht="15.75" customHeight="1" x14ac:dyDescent="0.3">
      <c r="K425" s="8"/>
      <c r="L425" s="8"/>
      <c r="M425" s="8"/>
      <c r="N425" s="8"/>
    </row>
    <row r="426" spans="11:14" ht="15.75" customHeight="1" x14ac:dyDescent="0.3">
      <c r="K426" s="8"/>
      <c r="L426" s="8"/>
      <c r="M426" s="8"/>
      <c r="N426" s="8"/>
    </row>
    <row r="427" spans="11:14" ht="15.75" customHeight="1" x14ac:dyDescent="0.3">
      <c r="K427" s="8"/>
      <c r="L427" s="8"/>
      <c r="M427" s="8"/>
      <c r="N427" s="8"/>
    </row>
    <row r="428" spans="11:14" ht="15.75" customHeight="1" x14ac:dyDescent="0.3">
      <c r="K428" s="8"/>
      <c r="L428" s="8"/>
      <c r="M428" s="8"/>
      <c r="N428" s="8"/>
    </row>
    <row r="429" spans="11:14" ht="15.75" customHeight="1" x14ac:dyDescent="0.3">
      <c r="K429" s="8"/>
      <c r="L429" s="8"/>
      <c r="M429" s="8"/>
      <c r="N429" s="8"/>
    </row>
    <row r="430" spans="11:14" ht="15.75" customHeight="1" x14ac:dyDescent="0.3">
      <c r="K430" s="8"/>
      <c r="L430" s="8"/>
      <c r="M430" s="8"/>
      <c r="N430" s="8"/>
    </row>
    <row r="431" spans="11:14" ht="15.75" customHeight="1" x14ac:dyDescent="0.3">
      <c r="K431" s="8"/>
      <c r="L431" s="8"/>
      <c r="M431" s="8"/>
      <c r="N431" s="8"/>
    </row>
    <row r="432" spans="11:14" ht="15.75" customHeight="1" x14ac:dyDescent="0.3">
      <c r="K432" s="8"/>
      <c r="L432" s="8"/>
      <c r="M432" s="8"/>
      <c r="N432" s="8"/>
    </row>
    <row r="433" spans="11:14" ht="15.75" customHeight="1" x14ac:dyDescent="0.3">
      <c r="K433" s="8"/>
      <c r="L433" s="8"/>
      <c r="M433" s="8"/>
      <c r="N433" s="8"/>
    </row>
    <row r="434" spans="11:14" ht="15.75" customHeight="1" x14ac:dyDescent="0.3">
      <c r="K434" s="8"/>
      <c r="L434" s="8"/>
      <c r="M434" s="8"/>
      <c r="N434" s="8"/>
    </row>
    <row r="435" spans="11:14" ht="15.75" customHeight="1" x14ac:dyDescent="0.3">
      <c r="K435" s="8"/>
      <c r="L435" s="8"/>
      <c r="M435" s="8"/>
      <c r="N435" s="8"/>
    </row>
    <row r="436" spans="11:14" ht="15.75" customHeight="1" x14ac:dyDescent="0.3">
      <c r="K436" s="8"/>
      <c r="L436" s="8"/>
      <c r="M436" s="8"/>
      <c r="N436" s="8"/>
    </row>
    <row r="437" spans="11:14" ht="15.75" customHeight="1" x14ac:dyDescent="0.3">
      <c r="K437" s="8"/>
      <c r="L437" s="8"/>
      <c r="M437" s="8"/>
      <c r="N437" s="8"/>
    </row>
    <row r="438" spans="11:14" ht="15.75" customHeight="1" x14ac:dyDescent="0.3">
      <c r="K438" s="8"/>
      <c r="L438" s="8"/>
      <c r="M438" s="8"/>
      <c r="N438" s="8"/>
    </row>
    <row r="439" spans="11:14" ht="15.75" customHeight="1" x14ac:dyDescent="0.3">
      <c r="K439" s="8"/>
      <c r="L439" s="8"/>
      <c r="M439" s="8"/>
      <c r="N439" s="8"/>
    </row>
    <row r="440" spans="11:14" ht="15.75" customHeight="1" x14ac:dyDescent="0.3">
      <c r="K440" s="8"/>
      <c r="L440" s="8"/>
      <c r="M440" s="8"/>
      <c r="N440" s="8"/>
    </row>
    <row r="441" spans="11:14" ht="15.75" customHeight="1" x14ac:dyDescent="0.3">
      <c r="K441" s="8"/>
      <c r="L441" s="8"/>
      <c r="M441" s="8"/>
      <c r="N441" s="8"/>
    </row>
    <row r="442" spans="11:14" ht="15.75" customHeight="1" x14ac:dyDescent="0.3">
      <c r="K442" s="8"/>
      <c r="L442" s="8"/>
      <c r="M442" s="8"/>
      <c r="N442" s="8"/>
    </row>
    <row r="443" spans="11:14" ht="15.75" customHeight="1" x14ac:dyDescent="0.3">
      <c r="K443" s="8"/>
      <c r="L443" s="8"/>
      <c r="M443" s="8"/>
      <c r="N443" s="8"/>
    </row>
    <row r="444" spans="11:14" ht="15.75" customHeight="1" x14ac:dyDescent="0.3">
      <c r="K444" s="8"/>
      <c r="L444" s="8"/>
      <c r="M444" s="8"/>
      <c r="N444" s="8"/>
    </row>
    <row r="445" spans="11:14" ht="15.75" customHeight="1" x14ac:dyDescent="0.3">
      <c r="K445" s="8"/>
      <c r="L445" s="8"/>
      <c r="M445" s="8"/>
      <c r="N445" s="8"/>
    </row>
    <row r="446" spans="11:14" ht="15.75" customHeight="1" x14ac:dyDescent="0.3">
      <c r="K446" s="8"/>
      <c r="L446" s="8"/>
      <c r="M446" s="8"/>
      <c r="N446" s="8"/>
    </row>
    <row r="447" spans="11:14" ht="15.75" customHeight="1" x14ac:dyDescent="0.3">
      <c r="K447" s="8"/>
      <c r="L447" s="8"/>
      <c r="M447" s="8"/>
      <c r="N447" s="8"/>
    </row>
    <row r="448" spans="11:14" ht="15.75" customHeight="1" x14ac:dyDescent="0.3">
      <c r="K448" s="8"/>
      <c r="L448" s="8"/>
      <c r="M448" s="8"/>
      <c r="N448" s="8"/>
    </row>
    <row r="449" spans="11:14" ht="15.75" customHeight="1" x14ac:dyDescent="0.3">
      <c r="K449" s="8"/>
      <c r="L449" s="8"/>
      <c r="M449" s="8"/>
      <c r="N449" s="8"/>
    </row>
    <row r="450" spans="11:14" ht="15.75" customHeight="1" x14ac:dyDescent="0.3">
      <c r="K450" s="8"/>
      <c r="L450" s="8"/>
      <c r="M450" s="8"/>
      <c r="N450" s="8"/>
    </row>
    <row r="451" spans="11:14" ht="15.75" customHeight="1" x14ac:dyDescent="0.3">
      <c r="K451" s="8"/>
      <c r="L451" s="8"/>
      <c r="M451" s="8"/>
      <c r="N451" s="8"/>
    </row>
    <row r="452" spans="11:14" ht="15.75" customHeight="1" x14ac:dyDescent="0.3">
      <c r="K452" s="8"/>
      <c r="L452" s="8"/>
      <c r="M452" s="8"/>
      <c r="N452" s="8"/>
    </row>
    <row r="453" spans="11:14" ht="15.75" customHeight="1" x14ac:dyDescent="0.3">
      <c r="K453" s="8"/>
      <c r="L453" s="8"/>
      <c r="M453" s="8"/>
      <c r="N453" s="8"/>
    </row>
    <row r="454" spans="11:14" ht="15.75" customHeight="1" x14ac:dyDescent="0.3">
      <c r="K454" s="8"/>
      <c r="L454" s="8"/>
      <c r="M454" s="8"/>
      <c r="N454" s="8"/>
    </row>
    <row r="455" spans="11:14" ht="15.75" customHeight="1" x14ac:dyDescent="0.3">
      <c r="K455" s="8"/>
      <c r="L455" s="8"/>
      <c r="M455" s="8"/>
      <c r="N455" s="8"/>
    </row>
    <row r="456" spans="11:14" ht="15.75" customHeight="1" x14ac:dyDescent="0.3">
      <c r="K456" s="8"/>
      <c r="L456" s="8"/>
      <c r="M456" s="8"/>
      <c r="N456" s="8"/>
    </row>
    <row r="457" spans="11:14" ht="15.75" customHeight="1" x14ac:dyDescent="0.3">
      <c r="K457" s="8"/>
      <c r="L457" s="8"/>
      <c r="M457" s="8"/>
      <c r="N457" s="8"/>
    </row>
    <row r="458" spans="11:14" ht="15.75" customHeight="1" x14ac:dyDescent="0.3">
      <c r="K458" s="8"/>
      <c r="L458" s="8"/>
      <c r="M458" s="8"/>
      <c r="N458" s="8"/>
    </row>
    <row r="459" spans="11:14" ht="15.75" customHeight="1" x14ac:dyDescent="0.3">
      <c r="K459" s="8"/>
      <c r="L459" s="8"/>
      <c r="M459" s="8"/>
      <c r="N459" s="8"/>
    </row>
    <row r="460" spans="11:14" ht="15.75" customHeight="1" x14ac:dyDescent="0.3">
      <c r="K460" s="8"/>
      <c r="L460" s="8"/>
      <c r="M460" s="8"/>
      <c r="N460" s="8"/>
    </row>
    <row r="461" spans="11:14" ht="15.75" customHeight="1" x14ac:dyDescent="0.3">
      <c r="K461" s="8"/>
      <c r="L461" s="8"/>
      <c r="M461" s="8"/>
      <c r="N461" s="8"/>
    </row>
    <row r="462" spans="11:14" ht="15.75" customHeight="1" x14ac:dyDescent="0.3">
      <c r="K462" s="8"/>
      <c r="L462" s="8"/>
      <c r="M462" s="8"/>
      <c r="N462" s="8"/>
    </row>
    <row r="463" spans="11:14" ht="15.75" customHeight="1" x14ac:dyDescent="0.3">
      <c r="K463" s="8"/>
      <c r="L463" s="8"/>
      <c r="M463" s="8"/>
      <c r="N463" s="8"/>
    </row>
    <row r="464" spans="11:14" ht="15.75" customHeight="1" x14ac:dyDescent="0.3">
      <c r="K464" s="8"/>
      <c r="L464" s="8"/>
      <c r="M464" s="8"/>
      <c r="N464" s="8"/>
    </row>
    <row r="465" spans="11:14" ht="15.75" customHeight="1" x14ac:dyDescent="0.3">
      <c r="K465" s="8"/>
      <c r="L465" s="8"/>
      <c r="M465" s="8"/>
      <c r="N465" s="8"/>
    </row>
    <row r="466" spans="11:14" ht="15.75" customHeight="1" x14ac:dyDescent="0.3">
      <c r="K466" s="8"/>
      <c r="L466" s="8"/>
      <c r="M466" s="8"/>
      <c r="N466" s="8"/>
    </row>
    <row r="467" spans="11:14" ht="15.75" customHeight="1" x14ac:dyDescent="0.3">
      <c r="K467" s="8"/>
      <c r="L467" s="8"/>
      <c r="M467" s="8"/>
      <c r="N467" s="8"/>
    </row>
    <row r="468" spans="11:14" ht="15.75" customHeight="1" x14ac:dyDescent="0.3">
      <c r="K468" s="8"/>
      <c r="L468" s="8"/>
      <c r="M468" s="8"/>
      <c r="N468" s="8"/>
    </row>
    <row r="469" spans="11:14" ht="15.75" customHeight="1" x14ac:dyDescent="0.3">
      <c r="K469" s="8"/>
      <c r="L469" s="8"/>
      <c r="M469" s="8"/>
      <c r="N469" s="8"/>
    </row>
    <row r="470" spans="11:14" ht="15.75" customHeight="1" x14ac:dyDescent="0.3">
      <c r="K470" s="8"/>
      <c r="L470" s="8"/>
      <c r="M470" s="8"/>
      <c r="N470" s="8"/>
    </row>
    <row r="471" spans="11:14" ht="15.75" customHeight="1" x14ac:dyDescent="0.3">
      <c r="K471" s="8"/>
      <c r="L471" s="8"/>
      <c r="M471" s="8"/>
      <c r="N471" s="8"/>
    </row>
    <row r="472" spans="11:14" ht="15.75" customHeight="1" x14ac:dyDescent="0.3">
      <c r="K472" s="8"/>
      <c r="L472" s="8"/>
      <c r="M472" s="8"/>
      <c r="N472" s="8"/>
    </row>
    <row r="473" spans="11:14" ht="15.75" customHeight="1" x14ac:dyDescent="0.3">
      <c r="K473" s="8"/>
      <c r="L473" s="8"/>
      <c r="M473" s="8"/>
      <c r="N473" s="8"/>
    </row>
    <row r="474" spans="11:14" ht="15.75" customHeight="1" x14ac:dyDescent="0.3">
      <c r="K474" s="8"/>
      <c r="L474" s="8"/>
      <c r="M474" s="8"/>
      <c r="N474" s="8"/>
    </row>
    <row r="475" spans="11:14" ht="15.75" customHeight="1" x14ac:dyDescent="0.3">
      <c r="K475" s="8"/>
      <c r="L475" s="8"/>
      <c r="M475" s="8"/>
      <c r="N475" s="8"/>
    </row>
    <row r="476" spans="11:14" ht="15.75" customHeight="1" x14ac:dyDescent="0.3">
      <c r="K476" s="8"/>
      <c r="L476" s="8"/>
      <c r="M476" s="8"/>
      <c r="N476" s="8"/>
    </row>
    <row r="477" spans="11:14" ht="15.75" customHeight="1" x14ac:dyDescent="0.3">
      <c r="K477" s="8"/>
      <c r="L477" s="8"/>
      <c r="M477" s="8"/>
      <c r="N477" s="8"/>
    </row>
    <row r="478" spans="11:14" ht="15.75" customHeight="1" x14ac:dyDescent="0.3">
      <c r="K478" s="8"/>
      <c r="L478" s="8"/>
      <c r="M478" s="8"/>
      <c r="N478" s="8"/>
    </row>
    <row r="479" spans="11:14" ht="15.75" customHeight="1" x14ac:dyDescent="0.3">
      <c r="K479" s="8"/>
      <c r="L479" s="8"/>
      <c r="M479" s="8"/>
      <c r="N479" s="8"/>
    </row>
    <row r="480" spans="11:14" ht="15.75" customHeight="1" x14ac:dyDescent="0.3">
      <c r="K480" s="8"/>
      <c r="L480" s="8"/>
      <c r="M480" s="8"/>
      <c r="N480" s="8"/>
    </row>
    <row r="481" spans="11:14" ht="15.75" customHeight="1" x14ac:dyDescent="0.3">
      <c r="K481" s="8"/>
      <c r="L481" s="8"/>
      <c r="M481" s="8"/>
      <c r="N481" s="8"/>
    </row>
    <row r="482" spans="11:14" ht="15.75" customHeight="1" x14ac:dyDescent="0.3">
      <c r="K482" s="8"/>
      <c r="L482" s="8"/>
      <c r="M482" s="8"/>
      <c r="N482" s="8"/>
    </row>
    <row r="483" spans="11:14" ht="15.75" customHeight="1" x14ac:dyDescent="0.3">
      <c r="K483" s="8"/>
      <c r="L483" s="8"/>
      <c r="M483" s="8"/>
      <c r="N483" s="8"/>
    </row>
    <row r="484" spans="11:14" ht="15.75" customHeight="1" x14ac:dyDescent="0.3">
      <c r="K484" s="8"/>
      <c r="L484" s="8"/>
      <c r="M484" s="8"/>
      <c r="N484" s="8"/>
    </row>
    <row r="485" spans="11:14" ht="15.75" customHeight="1" x14ac:dyDescent="0.3">
      <c r="K485" s="8"/>
      <c r="L485" s="8"/>
      <c r="M485" s="8"/>
      <c r="N485" s="8"/>
    </row>
    <row r="486" spans="11:14" ht="15.75" customHeight="1" x14ac:dyDescent="0.3">
      <c r="K486" s="8"/>
      <c r="L486" s="8"/>
      <c r="M486" s="8"/>
      <c r="N486" s="8"/>
    </row>
    <row r="487" spans="11:14" ht="15.75" customHeight="1" x14ac:dyDescent="0.3">
      <c r="K487" s="8"/>
      <c r="L487" s="8"/>
      <c r="M487" s="8"/>
      <c r="N487" s="8"/>
    </row>
    <row r="488" spans="11:14" ht="15.75" customHeight="1" x14ac:dyDescent="0.3">
      <c r="K488" s="8"/>
      <c r="L488" s="8"/>
      <c r="M488" s="8"/>
      <c r="N488" s="8"/>
    </row>
    <row r="489" spans="11:14" ht="15.75" customHeight="1" x14ac:dyDescent="0.3">
      <c r="K489" s="8"/>
      <c r="L489" s="8"/>
      <c r="M489" s="8"/>
      <c r="N489" s="8"/>
    </row>
    <row r="490" spans="11:14" ht="15.75" customHeight="1" x14ac:dyDescent="0.3">
      <c r="K490" s="8"/>
      <c r="L490" s="8"/>
      <c r="M490" s="8"/>
      <c r="N490" s="8"/>
    </row>
    <row r="491" spans="11:14" ht="15.75" customHeight="1" x14ac:dyDescent="0.3">
      <c r="K491" s="8"/>
      <c r="L491" s="8"/>
      <c r="M491" s="8"/>
      <c r="N491" s="8"/>
    </row>
    <row r="492" spans="11:14" ht="15.75" customHeight="1" x14ac:dyDescent="0.3">
      <c r="K492" s="8"/>
      <c r="L492" s="8"/>
      <c r="M492" s="8"/>
      <c r="N492" s="8"/>
    </row>
    <row r="493" spans="11:14" ht="15.75" customHeight="1" x14ac:dyDescent="0.3">
      <c r="K493" s="8"/>
      <c r="L493" s="8"/>
      <c r="M493" s="8"/>
      <c r="N493" s="8"/>
    </row>
    <row r="494" spans="11:14" ht="15.75" customHeight="1" x14ac:dyDescent="0.3">
      <c r="K494" s="8"/>
      <c r="L494" s="8"/>
      <c r="M494" s="8"/>
      <c r="N494" s="8"/>
    </row>
    <row r="495" spans="11:14" ht="15.75" customHeight="1" x14ac:dyDescent="0.3">
      <c r="K495" s="8"/>
      <c r="L495" s="8"/>
      <c r="M495" s="8"/>
      <c r="N495" s="8"/>
    </row>
    <row r="496" spans="11:14" ht="15.75" customHeight="1" x14ac:dyDescent="0.3">
      <c r="K496" s="8"/>
      <c r="L496" s="8"/>
      <c r="M496" s="8"/>
      <c r="N496" s="8"/>
    </row>
    <row r="497" spans="11:14" ht="15.75" customHeight="1" x14ac:dyDescent="0.3">
      <c r="K497" s="8"/>
      <c r="L497" s="8"/>
      <c r="M497" s="8"/>
      <c r="N497" s="8"/>
    </row>
    <row r="498" spans="11:14" ht="15.75" customHeight="1" x14ac:dyDescent="0.3">
      <c r="K498" s="8"/>
      <c r="L498" s="8"/>
      <c r="M498" s="8"/>
      <c r="N498" s="8"/>
    </row>
    <row r="499" spans="11:14" ht="15.75" customHeight="1" x14ac:dyDescent="0.3">
      <c r="K499" s="8"/>
      <c r="L499" s="8"/>
      <c r="M499" s="8"/>
      <c r="N499" s="8"/>
    </row>
    <row r="500" spans="11:14" ht="15.75" customHeight="1" x14ac:dyDescent="0.3">
      <c r="K500" s="8"/>
      <c r="L500" s="8"/>
      <c r="M500" s="8"/>
      <c r="N500" s="8"/>
    </row>
    <row r="501" spans="11:14" ht="15.75" customHeight="1" x14ac:dyDescent="0.3">
      <c r="K501" s="8"/>
      <c r="L501" s="8"/>
      <c r="M501" s="8"/>
      <c r="N501" s="8"/>
    </row>
    <row r="502" spans="11:14" ht="15.75" customHeight="1" x14ac:dyDescent="0.3">
      <c r="K502" s="8"/>
      <c r="L502" s="8"/>
      <c r="M502" s="8"/>
      <c r="N502" s="8"/>
    </row>
    <row r="503" spans="11:14" ht="15.75" customHeight="1" x14ac:dyDescent="0.3">
      <c r="K503" s="8"/>
      <c r="L503" s="8"/>
      <c r="M503" s="8"/>
      <c r="N503" s="8"/>
    </row>
    <row r="504" spans="11:14" ht="15.75" customHeight="1" x14ac:dyDescent="0.3">
      <c r="K504" s="8"/>
      <c r="L504" s="8"/>
      <c r="M504" s="8"/>
      <c r="N504" s="8"/>
    </row>
    <row r="505" spans="11:14" ht="15.75" customHeight="1" x14ac:dyDescent="0.3">
      <c r="K505" s="8"/>
      <c r="L505" s="8"/>
      <c r="M505" s="8"/>
      <c r="N505" s="8"/>
    </row>
    <row r="506" spans="11:14" ht="15.75" customHeight="1" x14ac:dyDescent="0.3">
      <c r="K506" s="8"/>
      <c r="L506" s="8"/>
      <c r="M506" s="8"/>
      <c r="N506" s="8"/>
    </row>
    <row r="507" spans="11:14" ht="15.75" customHeight="1" x14ac:dyDescent="0.3">
      <c r="K507" s="8"/>
      <c r="L507" s="8"/>
      <c r="M507" s="8"/>
      <c r="N507" s="8"/>
    </row>
    <row r="508" spans="11:14" ht="15.75" customHeight="1" x14ac:dyDescent="0.3">
      <c r="K508" s="8"/>
      <c r="L508" s="8"/>
      <c r="M508" s="8"/>
      <c r="N508" s="8"/>
    </row>
    <row r="509" spans="11:14" ht="15.75" customHeight="1" x14ac:dyDescent="0.3">
      <c r="K509" s="8"/>
      <c r="L509" s="8"/>
      <c r="M509" s="8"/>
      <c r="N509" s="8"/>
    </row>
    <row r="510" spans="11:14" ht="15.75" customHeight="1" x14ac:dyDescent="0.3">
      <c r="K510" s="8"/>
      <c r="L510" s="8"/>
      <c r="M510" s="8"/>
      <c r="N510" s="8"/>
    </row>
    <row r="511" spans="11:14" ht="15.75" customHeight="1" x14ac:dyDescent="0.3">
      <c r="K511" s="8"/>
      <c r="L511" s="8"/>
      <c r="M511" s="8"/>
      <c r="N511" s="8"/>
    </row>
    <row r="512" spans="11:14" ht="15.75" customHeight="1" x14ac:dyDescent="0.3">
      <c r="K512" s="8"/>
      <c r="L512" s="8"/>
      <c r="M512" s="8"/>
      <c r="N512" s="8"/>
    </row>
    <row r="513" spans="11:14" ht="15.75" customHeight="1" x14ac:dyDescent="0.3">
      <c r="K513" s="8"/>
      <c r="L513" s="8"/>
      <c r="M513" s="8"/>
      <c r="N513" s="8"/>
    </row>
    <row r="514" spans="11:14" ht="15.75" customHeight="1" x14ac:dyDescent="0.3">
      <c r="K514" s="8"/>
      <c r="L514" s="8"/>
      <c r="M514" s="8"/>
      <c r="N514" s="8"/>
    </row>
    <row r="515" spans="11:14" ht="15.75" customHeight="1" x14ac:dyDescent="0.3">
      <c r="K515" s="8"/>
      <c r="L515" s="8"/>
      <c r="M515" s="8"/>
      <c r="N515" s="8"/>
    </row>
    <row r="516" spans="11:14" ht="15.75" customHeight="1" x14ac:dyDescent="0.3">
      <c r="K516" s="8"/>
      <c r="L516" s="8"/>
      <c r="M516" s="8"/>
      <c r="N516" s="8"/>
    </row>
    <row r="517" spans="11:14" ht="15.75" customHeight="1" x14ac:dyDescent="0.3">
      <c r="K517" s="8"/>
      <c r="L517" s="8"/>
      <c r="M517" s="8"/>
      <c r="N517" s="8"/>
    </row>
    <row r="518" spans="11:14" ht="15.75" customHeight="1" x14ac:dyDescent="0.3">
      <c r="K518" s="8"/>
      <c r="L518" s="8"/>
      <c r="M518" s="8"/>
      <c r="N518" s="8"/>
    </row>
    <row r="519" spans="11:14" ht="15.75" customHeight="1" x14ac:dyDescent="0.3">
      <c r="K519" s="8"/>
      <c r="L519" s="8"/>
      <c r="M519" s="8"/>
      <c r="N519" s="8"/>
    </row>
    <row r="520" spans="11:14" ht="15.75" customHeight="1" x14ac:dyDescent="0.3">
      <c r="K520" s="8"/>
      <c r="L520" s="8"/>
      <c r="M520" s="8"/>
      <c r="N520" s="8"/>
    </row>
    <row r="521" spans="11:14" ht="15.75" customHeight="1" x14ac:dyDescent="0.3">
      <c r="K521" s="8"/>
      <c r="L521" s="8"/>
      <c r="M521" s="8"/>
      <c r="N521" s="8"/>
    </row>
    <row r="522" spans="11:14" ht="15.75" customHeight="1" x14ac:dyDescent="0.3">
      <c r="K522" s="8"/>
      <c r="L522" s="8"/>
      <c r="M522" s="8"/>
      <c r="N522" s="8"/>
    </row>
    <row r="523" spans="11:14" ht="15.75" customHeight="1" x14ac:dyDescent="0.3">
      <c r="K523" s="8"/>
      <c r="L523" s="8"/>
      <c r="M523" s="8"/>
      <c r="N523" s="8"/>
    </row>
    <row r="524" spans="11:14" ht="15.75" customHeight="1" x14ac:dyDescent="0.3">
      <c r="K524" s="8"/>
      <c r="L524" s="8"/>
      <c r="M524" s="8"/>
      <c r="N524" s="8"/>
    </row>
    <row r="525" spans="11:14" ht="15.75" customHeight="1" x14ac:dyDescent="0.3">
      <c r="K525" s="8"/>
      <c r="L525" s="8"/>
      <c r="M525" s="8"/>
      <c r="N525" s="8"/>
    </row>
    <row r="526" spans="11:14" ht="15.75" customHeight="1" x14ac:dyDescent="0.3">
      <c r="K526" s="8"/>
      <c r="L526" s="8"/>
      <c r="M526" s="8"/>
      <c r="N526" s="8"/>
    </row>
    <row r="527" spans="11:14" ht="15.75" customHeight="1" x14ac:dyDescent="0.3">
      <c r="K527" s="8"/>
      <c r="L527" s="8"/>
      <c r="M527" s="8"/>
      <c r="N527" s="8"/>
    </row>
    <row r="528" spans="11:14" ht="15.75" customHeight="1" x14ac:dyDescent="0.3">
      <c r="K528" s="8"/>
      <c r="L528" s="8"/>
      <c r="M528" s="8"/>
      <c r="N528" s="8"/>
    </row>
    <row r="529" spans="11:14" ht="15.75" customHeight="1" x14ac:dyDescent="0.3">
      <c r="K529" s="8"/>
      <c r="L529" s="8"/>
      <c r="M529" s="8"/>
      <c r="N529" s="8"/>
    </row>
    <row r="530" spans="11:14" ht="15.75" customHeight="1" x14ac:dyDescent="0.3">
      <c r="K530" s="8"/>
      <c r="L530" s="8"/>
      <c r="M530" s="8"/>
      <c r="N530" s="8"/>
    </row>
    <row r="531" spans="11:14" ht="15.75" customHeight="1" x14ac:dyDescent="0.3">
      <c r="K531" s="8"/>
      <c r="L531" s="8"/>
      <c r="M531" s="8"/>
      <c r="N531" s="8"/>
    </row>
    <row r="532" spans="11:14" ht="15.75" customHeight="1" x14ac:dyDescent="0.3">
      <c r="K532" s="8"/>
      <c r="L532" s="8"/>
      <c r="M532" s="8"/>
      <c r="N532" s="8"/>
    </row>
    <row r="533" spans="11:14" ht="15.75" customHeight="1" x14ac:dyDescent="0.3">
      <c r="K533" s="8"/>
      <c r="L533" s="8"/>
      <c r="M533" s="8"/>
      <c r="N533" s="8"/>
    </row>
    <row r="534" spans="11:14" ht="15.75" customHeight="1" x14ac:dyDescent="0.3">
      <c r="K534" s="8"/>
      <c r="L534" s="8"/>
      <c r="M534" s="8"/>
      <c r="N534" s="8"/>
    </row>
    <row r="535" spans="11:14" ht="15.75" customHeight="1" x14ac:dyDescent="0.3">
      <c r="K535" s="8"/>
      <c r="L535" s="8"/>
      <c r="M535" s="8"/>
      <c r="N535" s="8"/>
    </row>
    <row r="536" spans="11:14" ht="15.75" customHeight="1" x14ac:dyDescent="0.3">
      <c r="K536" s="8"/>
      <c r="L536" s="8"/>
      <c r="M536" s="8"/>
      <c r="N536" s="8"/>
    </row>
    <row r="537" spans="11:14" ht="15.75" customHeight="1" x14ac:dyDescent="0.3">
      <c r="K537" s="8"/>
      <c r="L537" s="8"/>
      <c r="M537" s="8"/>
      <c r="N537" s="8"/>
    </row>
    <row r="538" spans="11:14" ht="15.75" customHeight="1" x14ac:dyDescent="0.3">
      <c r="K538" s="8"/>
      <c r="L538" s="8"/>
      <c r="M538" s="8"/>
      <c r="N538" s="8"/>
    </row>
    <row r="539" spans="11:14" ht="15.75" customHeight="1" x14ac:dyDescent="0.3">
      <c r="K539" s="8"/>
      <c r="L539" s="8"/>
      <c r="M539" s="8"/>
      <c r="N539" s="8"/>
    </row>
    <row r="540" spans="11:14" ht="15.75" customHeight="1" x14ac:dyDescent="0.3">
      <c r="K540" s="8"/>
      <c r="L540" s="8"/>
      <c r="M540" s="8"/>
      <c r="N540" s="8"/>
    </row>
    <row r="541" spans="11:14" ht="15.75" customHeight="1" x14ac:dyDescent="0.3">
      <c r="K541" s="8"/>
      <c r="L541" s="8"/>
      <c r="M541" s="8"/>
      <c r="N541" s="8"/>
    </row>
    <row r="542" spans="11:14" ht="15.75" customHeight="1" x14ac:dyDescent="0.3">
      <c r="K542" s="8"/>
      <c r="L542" s="8"/>
      <c r="M542" s="8"/>
      <c r="N542" s="8"/>
    </row>
    <row r="543" spans="11:14" ht="15.75" customHeight="1" x14ac:dyDescent="0.3">
      <c r="K543" s="8"/>
      <c r="L543" s="8"/>
      <c r="M543" s="8"/>
      <c r="N543" s="8"/>
    </row>
    <row r="544" spans="11:14" ht="15.75" customHeight="1" x14ac:dyDescent="0.3">
      <c r="K544" s="8"/>
      <c r="L544" s="8"/>
      <c r="M544" s="8"/>
      <c r="N544" s="8"/>
    </row>
    <row r="545" spans="11:14" ht="15.75" customHeight="1" x14ac:dyDescent="0.3">
      <c r="K545" s="8"/>
      <c r="L545" s="8"/>
      <c r="M545" s="8"/>
      <c r="N545" s="8"/>
    </row>
    <row r="546" spans="11:14" ht="15.75" customHeight="1" x14ac:dyDescent="0.3">
      <c r="K546" s="8"/>
      <c r="L546" s="8"/>
      <c r="M546" s="8"/>
      <c r="N546" s="8"/>
    </row>
    <row r="547" spans="11:14" ht="15.75" customHeight="1" x14ac:dyDescent="0.3">
      <c r="K547" s="8"/>
      <c r="L547" s="8"/>
      <c r="M547" s="8"/>
      <c r="N547" s="8"/>
    </row>
    <row r="548" spans="11:14" ht="15.75" customHeight="1" x14ac:dyDescent="0.3">
      <c r="K548" s="8"/>
      <c r="L548" s="8"/>
      <c r="M548" s="8"/>
      <c r="N548" s="8"/>
    </row>
    <row r="549" spans="11:14" ht="15.75" customHeight="1" x14ac:dyDescent="0.3">
      <c r="K549" s="8"/>
      <c r="L549" s="8"/>
      <c r="M549" s="8"/>
      <c r="N549" s="8"/>
    </row>
    <row r="550" spans="11:14" ht="15.75" customHeight="1" x14ac:dyDescent="0.3">
      <c r="K550" s="8"/>
      <c r="L550" s="8"/>
      <c r="M550" s="8"/>
      <c r="N550" s="8"/>
    </row>
    <row r="551" spans="11:14" ht="15.75" customHeight="1" x14ac:dyDescent="0.3">
      <c r="K551" s="8"/>
      <c r="L551" s="8"/>
      <c r="M551" s="8"/>
      <c r="N551" s="8"/>
    </row>
    <row r="552" spans="11:14" ht="15.75" customHeight="1" x14ac:dyDescent="0.3">
      <c r="K552" s="8"/>
      <c r="L552" s="8"/>
      <c r="M552" s="8"/>
      <c r="N552" s="8"/>
    </row>
    <row r="553" spans="11:14" ht="15.75" customHeight="1" x14ac:dyDescent="0.3">
      <c r="K553" s="8"/>
      <c r="L553" s="8"/>
      <c r="M553" s="8"/>
      <c r="N553" s="8"/>
    </row>
    <row r="554" spans="11:14" ht="15.75" customHeight="1" x14ac:dyDescent="0.3">
      <c r="K554" s="8"/>
      <c r="L554" s="8"/>
      <c r="M554" s="8"/>
      <c r="N554" s="8"/>
    </row>
    <row r="555" spans="11:14" ht="15.75" customHeight="1" x14ac:dyDescent="0.3">
      <c r="K555" s="8"/>
      <c r="L555" s="8"/>
      <c r="M555" s="8"/>
      <c r="N555" s="8"/>
    </row>
    <row r="556" spans="11:14" ht="15.75" customHeight="1" x14ac:dyDescent="0.3">
      <c r="K556" s="8"/>
      <c r="L556" s="8"/>
      <c r="M556" s="8"/>
      <c r="N556" s="8"/>
    </row>
    <row r="557" spans="11:14" ht="15.75" customHeight="1" x14ac:dyDescent="0.3">
      <c r="K557" s="8"/>
      <c r="L557" s="8"/>
      <c r="M557" s="8"/>
      <c r="N557" s="8"/>
    </row>
    <row r="558" spans="11:14" ht="15.75" customHeight="1" x14ac:dyDescent="0.3">
      <c r="K558" s="8"/>
      <c r="L558" s="8"/>
      <c r="M558" s="8"/>
      <c r="N558" s="8"/>
    </row>
    <row r="559" spans="11:14" ht="15.75" customHeight="1" x14ac:dyDescent="0.3">
      <c r="K559" s="8"/>
      <c r="L559" s="8"/>
      <c r="M559" s="8"/>
      <c r="N559" s="8"/>
    </row>
    <row r="560" spans="11:14" ht="15.75" customHeight="1" x14ac:dyDescent="0.3">
      <c r="K560" s="8"/>
      <c r="L560" s="8"/>
      <c r="M560" s="8"/>
      <c r="N560" s="8"/>
    </row>
    <row r="561" spans="11:14" ht="15.75" customHeight="1" x14ac:dyDescent="0.3">
      <c r="K561" s="8"/>
      <c r="L561" s="8"/>
      <c r="M561" s="8"/>
      <c r="N561" s="8"/>
    </row>
    <row r="562" spans="11:14" ht="15.75" customHeight="1" x14ac:dyDescent="0.3">
      <c r="K562" s="8"/>
      <c r="L562" s="8"/>
      <c r="M562" s="8"/>
      <c r="N562" s="8"/>
    </row>
    <row r="563" spans="11:14" ht="15.75" customHeight="1" x14ac:dyDescent="0.3">
      <c r="K563" s="8"/>
      <c r="L563" s="8"/>
      <c r="M563" s="8"/>
      <c r="N563" s="8"/>
    </row>
    <row r="564" spans="11:14" ht="15.75" customHeight="1" x14ac:dyDescent="0.3">
      <c r="K564" s="8"/>
      <c r="L564" s="8"/>
      <c r="M564" s="8"/>
      <c r="N564" s="8"/>
    </row>
    <row r="565" spans="11:14" ht="15.75" customHeight="1" x14ac:dyDescent="0.3">
      <c r="K565" s="8"/>
      <c r="L565" s="8"/>
      <c r="M565" s="8"/>
      <c r="N565" s="8"/>
    </row>
    <row r="566" spans="11:14" ht="15.75" customHeight="1" x14ac:dyDescent="0.3">
      <c r="K566" s="8"/>
      <c r="L566" s="8"/>
      <c r="M566" s="8"/>
      <c r="N566" s="8"/>
    </row>
    <row r="567" spans="11:14" ht="15.75" customHeight="1" x14ac:dyDescent="0.3">
      <c r="K567" s="8"/>
      <c r="L567" s="8"/>
      <c r="M567" s="8"/>
      <c r="N567" s="8"/>
    </row>
    <row r="568" spans="11:14" ht="15.75" customHeight="1" x14ac:dyDescent="0.3">
      <c r="K568" s="8"/>
      <c r="L568" s="8"/>
      <c r="M568" s="8"/>
      <c r="N568" s="8"/>
    </row>
    <row r="569" spans="11:14" ht="15.75" customHeight="1" x14ac:dyDescent="0.3">
      <c r="K569" s="8"/>
      <c r="L569" s="8"/>
      <c r="M569" s="8"/>
      <c r="N569" s="8"/>
    </row>
    <row r="570" spans="11:14" ht="15.75" customHeight="1" x14ac:dyDescent="0.3">
      <c r="K570" s="8"/>
      <c r="L570" s="8"/>
      <c r="M570" s="8"/>
      <c r="N570" s="8"/>
    </row>
    <row r="571" spans="11:14" ht="15.75" customHeight="1" x14ac:dyDescent="0.3">
      <c r="K571" s="8"/>
      <c r="L571" s="8"/>
      <c r="M571" s="8"/>
      <c r="N571" s="8"/>
    </row>
    <row r="572" spans="11:14" ht="15.75" customHeight="1" x14ac:dyDescent="0.3">
      <c r="K572" s="8"/>
      <c r="L572" s="8"/>
      <c r="M572" s="8"/>
      <c r="N572" s="8"/>
    </row>
    <row r="573" spans="11:14" ht="15.75" customHeight="1" x14ac:dyDescent="0.3">
      <c r="K573" s="8"/>
      <c r="L573" s="8"/>
      <c r="M573" s="8"/>
      <c r="N573" s="8"/>
    </row>
    <row r="574" spans="11:14" ht="15.75" customHeight="1" x14ac:dyDescent="0.3">
      <c r="K574" s="8"/>
      <c r="L574" s="8"/>
      <c r="M574" s="8"/>
      <c r="N574" s="8"/>
    </row>
    <row r="575" spans="11:14" ht="15.75" customHeight="1" x14ac:dyDescent="0.3">
      <c r="K575" s="8"/>
      <c r="L575" s="8"/>
      <c r="M575" s="8"/>
      <c r="N575" s="8"/>
    </row>
    <row r="576" spans="11:14" ht="15.75" customHeight="1" x14ac:dyDescent="0.3">
      <c r="K576" s="8"/>
      <c r="L576" s="8"/>
      <c r="M576" s="8"/>
      <c r="N576" s="8"/>
    </row>
    <row r="577" spans="11:14" ht="15.75" customHeight="1" x14ac:dyDescent="0.3">
      <c r="K577" s="8"/>
      <c r="L577" s="8"/>
      <c r="M577" s="8"/>
      <c r="N577" s="8"/>
    </row>
    <row r="578" spans="11:14" ht="15.75" customHeight="1" x14ac:dyDescent="0.3">
      <c r="K578" s="8"/>
      <c r="L578" s="8"/>
      <c r="M578" s="8"/>
      <c r="N578" s="8"/>
    </row>
    <row r="579" spans="11:14" ht="15.75" customHeight="1" x14ac:dyDescent="0.3">
      <c r="K579" s="8"/>
      <c r="L579" s="8"/>
      <c r="M579" s="8"/>
      <c r="N579" s="8"/>
    </row>
    <row r="580" spans="11:14" ht="15.75" customHeight="1" x14ac:dyDescent="0.3">
      <c r="K580" s="8"/>
      <c r="L580" s="8"/>
      <c r="M580" s="8"/>
      <c r="N580" s="8"/>
    </row>
    <row r="581" spans="11:14" ht="15.75" customHeight="1" x14ac:dyDescent="0.3">
      <c r="K581" s="8"/>
      <c r="L581" s="8"/>
      <c r="M581" s="8"/>
      <c r="N581" s="8"/>
    </row>
    <row r="582" spans="11:14" ht="15.75" customHeight="1" x14ac:dyDescent="0.3">
      <c r="K582" s="8"/>
      <c r="L582" s="8"/>
      <c r="M582" s="8"/>
      <c r="N582" s="8"/>
    </row>
    <row r="583" spans="11:14" ht="15.75" customHeight="1" x14ac:dyDescent="0.3">
      <c r="K583" s="8"/>
      <c r="L583" s="8"/>
      <c r="M583" s="8"/>
      <c r="N583" s="8"/>
    </row>
    <row r="584" spans="11:14" ht="15.75" customHeight="1" x14ac:dyDescent="0.3">
      <c r="K584" s="8"/>
      <c r="L584" s="8"/>
      <c r="M584" s="8"/>
      <c r="N584" s="8"/>
    </row>
    <row r="585" spans="11:14" ht="15.75" customHeight="1" x14ac:dyDescent="0.3">
      <c r="K585" s="8"/>
      <c r="L585" s="8"/>
      <c r="M585" s="8"/>
      <c r="N585" s="8"/>
    </row>
    <row r="586" spans="11:14" ht="15.75" customHeight="1" x14ac:dyDescent="0.3">
      <c r="K586" s="8"/>
      <c r="L586" s="8"/>
      <c r="M586" s="8"/>
      <c r="N586" s="8"/>
    </row>
    <row r="587" spans="11:14" ht="15.75" customHeight="1" x14ac:dyDescent="0.3">
      <c r="K587" s="8"/>
      <c r="L587" s="8"/>
      <c r="M587" s="8"/>
      <c r="N587" s="8"/>
    </row>
    <row r="588" spans="11:14" ht="15.75" customHeight="1" x14ac:dyDescent="0.3">
      <c r="K588" s="8"/>
      <c r="L588" s="8"/>
      <c r="M588" s="8"/>
      <c r="N588" s="8"/>
    </row>
    <row r="589" spans="11:14" ht="15.75" customHeight="1" x14ac:dyDescent="0.3">
      <c r="K589" s="8"/>
      <c r="L589" s="8"/>
      <c r="M589" s="8"/>
      <c r="N589" s="8"/>
    </row>
    <row r="590" spans="11:14" ht="15.75" customHeight="1" x14ac:dyDescent="0.3">
      <c r="K590" s="8"/>
      <c r="L590" s="8"/>
      <c r="M590" s="8"/>
      <c r="N590" s="8"/>
    </row>
    <row r="591" spans="11:14" ht="15.75" customHeight="1" x14ac:dyDescent="0.3">
      <c r="K591" s="8"/>
      <c r="L591" s="8"/>
      <c r="M591" s="8"/>
      <c r="N591" s="8"/>
    </row>
    <row r="592" spans="11:14" ht="15.75" customHeight="1" x14ac:dyDescent="0.3">
      <c r="K592" s="8"/>
      <c r="L592" s="8"/>
      <c r="M592" s="8"/>
      <c r="N592" s="8"/>
    </row>
    <row r="593" spans="11:14" ht="15.75" customHeight="1" x14ac:dyDescent="0.3">
      <c r="K593" s="8"/>
      <c r="L593" s="8"/>
      <c r="M593" s="8"/>
      <c r="N593" s="8"/>
    </row>
    <row r="594" spans="11:14" ht="15.75" customHeight="1" x14ac:dyDescent="0.3">
      <c r="K594" s="8"/>
      <c r="L594" s="8"/>
      <c r="M594" s="8"/>
      <c r="N594" s="8"/>
    </row>
    <row r="595" spans="11:14" ht="15.75" customHeight="1" x14ac:dyDescent="0.3">
      <c r="K595" s="8"/>
      <c r="L595" s="8"/>
      <c r="M595" s="8"/>
      <c r="N595" s="8"/>
    </row>
    <row r="596" spans="11:14" ht="15.75" customHeight="1" x14ac:dyDescent="0.3">
      <c r="K596" s="8"/>
      <c r="L596" s="8"/>
      <c r="M596" s="8"/>
      <c r="N596" s="8"/>
    </row>
    <row r="597" spans="11:14" ht="15.75" customHeight="1" x14ac:dyDescent="0.3">
      <c r="K597" s="8"/>
      <c r="L597" s="8"/>
      <c r="M597" s="8"/>
      <c r="N597" s="8"/>
    </row>
    <row r="598" spans="11:14" ht="15.75" customHeight="1" x14ac:dyDescent="0.3">
      <c r="K598" s="8"/>
      <c r="L598" s="8"/>
      <c r="M598" s="8"/>
      <c r="N598" s="8"/>
    </row>
    <row r="599" spans="11:14" ht="15.75" customHeight="1" x14ac:dyDescent="0.3">
      <c r="K599" s="8"/>
      <c r="L599" s="8"/>
      <c r="M599" s="8"/>
      <c r="N599" s="8"/>
    </row>
    <row r="600" spans="11:14" ht="15.75" customHeight="1" x14ac:dyDescent="0.3">
      <c r="K600" s="8"/>
      <c r="L600" s="8"/>
      <c r="M600" s="8"/>
      <c r="N600" s="8"/>
    </row>
    <row r="601" spans="11:14" ht="15.75" customHeight="1" x14ac:dyDescent="0.3">
      <c r="K601" s="8"/>
      <c r="L601" s="8"/>
      <c r="M601" s="8"/>
      <c r="N601" s="8"/>
    </row>
    <row r="602" spans="11:14" ht="15.75" customHeight="1" x14ac:dyDescent="0.3">
      <c r="K602" s="8"/>
      <c r="L602" s="8"/>
      <c r="M602" s="8"/>
      <c r="N602" s="8"/>
    </row>
    <row r="603" spans="11:14" ht="15.75" customHeight="1" x14ac:dyDescent="0.3">
      <c r="K603" s="8"/>
      <c r="L603" s="8"/>
      <c r="M603" s="8"/>
      <c r="N603" s="8"/>
    </row>
    <row r="604" spans="11:14" ht="15.75" customHeight="1" x14ac:dyDescent="0.3">
      <c r="K604" s="8"/>
      <c r="L604" s="8"/>
      <c r="M604" s="8"/>
      <c r="N604" s="8"/>
    </row>
    <row r="605" spans="11:14" ht="15.75" customHeight="1" x14ac:dyDescent="0.3">
      <c r="K605" s="8"/>
      <c r="L605" s="8"/>
      <c r="M605" s="8"/>
      <c r="N605" s="8"/>
    </row>
    <row r="606" spans="11:14" ht="15.75" customHeight="1" x14ac:dyDescent="0.3">
      <c r="K606" s="8"/>
      <c r="L606" s="8"/>
      <c r="M606" s="8"/>
      <c r="N606" s="8"/>
    </row>
    <row r="607" spans="11:14" ht="15.75" customHeight="1" x14ac:dyDescent="0.3">
      <c r="K607" s="8"/>
      <c r="L607" s="8"/>
      <c r="M607" s="8"/>
      <c r="N607" s="8"/>
    </row>
    <row r="608" spans="11:14" ht="15.75" customHeight="1" x14ac:dyDescent="0.3">
      <c r="K608" s="8"/>
      <c r="L608" s="8"/>
      <c r="M608" s="8"/>
      <c r="N608" s="8"/>
    </row>
    <row r="609" spans="11:14" ht="15.75" customHeight="1" x14ac:dyDescent="0.3">
      <c r="K609" s="8"/>
      <c r="L609" s="8"/>
      <c r="M609" s="8"/>
      <c r="N609" s="8"/>
    </row>
    <row r="610" spans="11:14" ht="15.75" customHeight="1" x14ac:dyDescent="0.3">
      <c r="K610" s="8"/>
      <c r="L610" s="8"/>
      <c r="M610" s="8"/>
      <c r="N610" s="8"/>
    </row>
    <row r="611" spans="11:14" ht="15.75" customHeight="1" x14ac:dyDescent="0.3">
      <c r="K611" s="8"/>
      <c r="L611" s="8"/>
      <c r="M611" s="8"/>
      <c r="N611" s="8"/>
    </row>
    <row r="612" spans="11:14" ht="15.75" customHeight="1" x14ac:dyDescent="0.3">
      <c r="K612" s="8"/>
      <c r="L612" s="8"/>
      <c r="M612" s="8"/>
      <c r="N612" s="8"/>
    </row>
    <row r="613" spans="11:14" ht="15.75" customHeight="1" x14ac:dyDescent="0.3">
      <c r="K613" s="8"/>
      <c r="L613" s="8"/>
      <c r="M613" s="8"/>
      <c r="N613" s="8"/>
    </row>
    <row r="614" spans="11:14" ht="15.75" customHeight="1" x14ac:dyDescent="0.3">
      <c r="K614" s="8"/>
      <c r="L614" s="8"/>
      <c r="M614" s="8"/>
      <c r="N614" s="8"/>
    </row>
    <row r="615" spans="11:14" ht="15.75" customHeight="1" x14ac:dyDescent="0.3">
      <c r="K615" s="8"/>
      <c r="L615" s="8"/>
      <c r="M615" s="8"/>
      <c r="N615" s="8"/>
    </row>
    <row r="616" spans="11:14" ht="15.75" customHeight="1" x14ac:dyDescent="0.3">
      <c r="K616" s="8"/>
      <c r="L616" s="8"/>
      <c r="M616" s="8"/>
      <c r="N616" s="8"/>
    </row>
    <row r="617" spans="11:14" ht="15.75" customHeight="1" x14ac:dyDescent="0.3">
      <c r="K617" s="8"/>
      <c r="L617" s="8"/>
      <c r="M617" s="8"/>
      <c r="N617" s="8"/>
    </row>
    <row r="618" spans="11:14" ht="15.75" customHeight="1" x14ac:dyDescent="0.3">
      <c r="K618" s="8"/>
      <c r="L618" s="8"/>
      <c r="M618" s="8"/>
      <c r="N618" s="8"/>
    </row>
    <row r="619" spans="11:14" ht="15.75" customHeight="1" x14ac:dyDescent="0.3">
      <c r="K619" s="8"/>
      <c r="L619" s="8"/>
      <c r="M619" s="8"/>
      <c r="N619" s="8"/>
    </row>
    <row r="620" spans="11:14" ht="15.75" customHeight="1" x14ac:dyDescent="0.3">
      <c r="K620" s="8"/>
      <c r="L620" s="8"/>
      <c r="M620" s="8"/>
      <c r="N620" s="8"/>
    </row>
    <row r="621" spans="11:14" ht="15.75" customHeight="1" x14ac:dyDescent="0.3">
      <c r="K621" s="8"/>
      <c r="L621" s="8"/>
      <c r="M621" s="8"/>
      <c r="N621" s="8"/>
    </row>
    <row r="622" spans="11:14" ht="15.75" customHeight="1" x14ac:dyDescent="0.3">
      <c r="K622" s="8"/>
      <c r="L622" s="8"/>
      <c r="M622" s="8"/>
      <c r="N622" s="8"/>
    </row>
    <row r="623" spans="11:14" ht="15.75" customHeight="1" x14ac:dyDescent="0.3">
      <c r="K623" s="8"/>
      <c r="L623" s="8"/>
      <c r="M623" s="8"/>
      <c r="N623" s="8"/>
    </row>
    <row r="624" spans="11:14" ht="15.75" customHeight="1" x14ac:dyDescent="0.3">
      <c r="K624" s="8"/>
      <c r="L624" s="8"/>
      <c r="M624" s="8"/>
      <c r="N624" s="8"/>
    </row>
    <row r="625" spans="11:14" ht="15.75" customHeight="1" x14ac:dyDescent="0.3">
      <c r="K625" s="8"/>
      <c r="L625" s="8"/>
      <c r="M625" s="8"/>
      <c r="N625" s="8"/>
    </row>
    <row r="626" spans="11:14" ht="15.75" customHeight="1" x14ac:dyDescent="0.3">
      <c r="K626" s="8"/>
      <c r="L626" s="8"/>
      <c r="M626" s="8"/>
      <c r="N626" s="8"/>
    </row>
    <row r="627" spans="11:14" ht="15.75" customHeight="1" x14ac:dyDescent="0.3">
      <c r="K627" s="8"/>
      <c r="L627" s="8"/>
      <c r="M627" s="8"/>
      <c r="N627" s="8"/>
    </row>
    <row r="628" spans="11:14" ht="15.75" customHeight="1" x14ac:dyDescent="0.3">
      <c r="K628" s="8"/>
      <c r="L628" s="8"/>
      <c r="M628" s="8"/>
      <c r="N628" s="8"/>
    </row>
    <row r="629" spans="11:14" ht="15.75" customHeight="1" x14ac:dyDescent="0.3">
      <c r="K629" s="8"/>
      <c r="L629" s="8"/>
      <c r="M629" s="8"/>
      <c r="N629" s="8"/>
    </row>
    <row r="630" spans="11:14" ht="15.75" customHeight="1" x14ac:dyDescent="0.3">
      <c r="K630" s="8"/>
      <c r="L630" s="8"/>
      <c r="M630" s="8"/>
      <c r="N630" s="8"/>
    </row>
    <row r="631" spans="11:14" ht="15.75" customHeight="1" x14ac:dyDescent="0.3">
      <c r="K631" s="8"/>
      <c r="L631" s="8"/>
      <c r="M631" s="8"/>
      <c r="N631" s="8"/>
    </row>
    <row r="632" spans="11:14" ht="15.75" customHeight="1" x14ac:dyDescent="0.3">
      <c r="K632" s="8"/>
      <c r="L632" s="8"/>
      <c r="M632" s="8"/>
      <c r="N632" s="8"/>
    </row>
    <row r="633" spans="11:14" ht="15.75" customHeight="1" x14ac:dyDescent="0.3">
      <c r="K633" s="8"/>
      <c r="L633" s="8"/>
      <c r="M633" s="8"/>
      <c r="N633" s="8"/>
    </row>
    <row r="634" spans="11:14" ht="15.75" customHeight="1" x14ac:dyDescent="0.3">
      <c r="K634" s="8"/>
      <c r="L634" s="8"/>
      <c r="M634" s="8"/>
      <c r="N634" s="8"/>
    </row>
    <row r="635" spans="11:14" ht="15.75" customHeight="1" x14ac:dyDescent="0.3">
      <c r="K635" s="8"/>
      <c r="L635" s="8"/>
      <c r="M635" s="8"/>
      <c r="N635" s="8"/>
    </row>
    <row r="636" spans="11:14" ht="15.75" customHeight="1" x14ac:dyDescent="0.3">
      <c r="K636" s="8"/>
      <c r="L636" s="8"/>
      <c r="M636" s="8"/>
      <c r="N636" s="8"/>
    </row>
    <row r="637" spans="11:14" ht="15.75" customHeight="1" x14ac:dyDescent="0.3">
      <c r="K637" s="8"/>
      <c r="L637" s="8"/>
      <c r="M637" s="8"/>
      <c r="N637" s="8"/>
    </row>
    <row r="638" spans="11:14" ht="15.75" customHeight="1" x14ac:dyDescent="0.3">
      <c r="K638" s="8"/>
      <c r="L638" s="8"/>
      <c r="M638" s="8"/>
      <c r="N638" s="8"/>
    </row>
    <row r="639" spans="11:14" ht="15.75" customHeight="1" x14ac:dyDescent="0.3">
      <c r="K639" s="8"/>
      <c r="L639" s="8"/>
      <c r="M639" s="8"/>
      <c r="N639" s="8"/>
    </row>
    <row r="640" spans="11:14" ht="15.75" customHeight="1" x14ac:dyDescent="0.3">
      <c r="K640" s="8"/>
      <c r="L640" s="8"/>
      <c r="M640" s="8"/>
      <c r="N640" s="8"/>
    </row>
    <row r="641" spans="11:14" ht="15.75" customHeight="1" x14ac:dyDescent="0.3">
      <c r="K641" s="8"/>
      <c r="L641" s="8"/>
      <c r="M641" s="8"/>
      <c r="N641" s="8"/>
    </row>
    <row r="642" spans="11:14" ht="15.75" customHeight="1" x14ac:dyDescent="0.3">
      <c r="K642" s="8"/>
      <c r="L642" s="8"/>
      <c r="M642" s="8"/>
      <c r="N642" s="8"/>
    </row>
    <row r="643" spans="11:14" ht="15.75" customHeight="1" x14ac:dyDescent="0.3">
      <c r="K643" s="8"/>
      <c r="L643" s="8"/>
      <c r="M643" s="8"/>
      <c r="N643" s="8"/>
    </row>
    <row r="644" spans="11:14" ht="15.75" customHeight="1" x14ac:dyDescent="0.3">
      <c r="K644" s="8"/>
      <c r="L644" s="8"/>
      <c r="M644" s="8"/>
      <c r="N644" s="8"/>
    </row>
    <row r="645" spans="11:14" ht="15.75" customHeight="1" x14ac:dyDescent="0.3">
      <c r="K645" s="8"/>
      <c r="L645" s="8"/>
      <c r="M645" s="8"/>
      <c r="N645" s="8"/>
    </row>
    <row r="646" spans="11:14" ht="15.75" customHeight="1" x14ac:dyDescent="0.3">
      <c r="K646" s="8"/>
      <c r="L646" s="8"/>
      <c r="M646" s="8"/>
      <c r="N646" s="8"/>
    </row>
    <row r="647" spans="11:14" ht="15.75" customHeight="1" x14ac:dyDescent="0.3">
      <c r="K647" s="8"/>
      <c r="L647" s="8"/>
      <c r="M647" s="8"/>
      <c r="N647" s="8"/>
    </row>
    <row r="648" spans="11:14" ht="15.75" customHeight="1" x14ac:dyDescent="0.3">
      <c r="K648" s="8"/>
      <c r="L648" s="8"/>
      <c r="M648" s="8"/>
      <c r="N648" s="8"/>
    </row>
    <row r="649" spans="11:14" ht="15.75" customHeight="1" x14ac:dyDescent="0.3">
      <c r="K649" s="8"/>
      <c r="L649" s="8"/>
      <c r="M649" s="8"/>
      <c r="N649" s="8"/>
    </row>
    <row r="650" spans="11:14" ht="15.75" customHeight="1" x14ac:dyDescent="0.3">
      <c r="K650" s="8"/>
      <c r="L650" s="8"/>
      <c r="M650" s="8"/>
      <c r="N650" s="8"/>
    </row>
    <row r="651" spans="11:14" ht="15.75" customHeight="1" x14ac:dyDescent="0.3">
      <c r="K651" s="8"/>
      <c r="L651" s="8"/>
      <c r="M651" s="8"/>
      <c r="N651" s="8"/>
    </row>
    <row r="652" spans="11:14" ht="15.75" customHeight="1" x14ac:dyDescent="0.3">
      <c r="K652" s="8"/>
      <c r="L652" s="8"/>
      <c r="M652" s="8"/>
      <c r="N652" s="8"/>
    </row>
    <row r="653" spans="11:14" ht="15.75" customHeight="1" x14ac:dyDescent="0.3">
      <c r="K653" s="8"/>
      <c r="L653" s="8"/>
      <c r="M653" s="8"/>
      <c r="N653" s="8"/>
    </row>
    <row r="654" spans="11:14" ht="15.75" customHeight="1" x14ac:dyDescent="0.3">
      <c r="K654" s="8"/>
      <c r="L654" s="8"/>
      <c r="M654" s="8"/>
      <c r="N654" s="8"/>
    </row>
    <row r="655" spans="11:14" ht="15.75" customHeight="1" x14ac:dyDescent="0.3">
      <c r="K655" s="8"/>
      <c r="L655" s="8"/>
      <c r="M655" s="8"/>
      <c r="N655" s="8"/>
    </row>
    <row r="656" spans="11:14" ht="15.75" customHeight="1" x14ac:dyDescent="0.3">
      <c r="K656" s="8"/>
      <c r="L656" s="8"/>
      <c r="M656" s="8"/>
      <c r="N656" s="8"/>
    </row>
    <row r="657" spans="11:14" ht="15.75" customHeight="1" x14ac:dyDescent="0.3">
      <c r="K657" s="8"/>
      <c r="L657" s="8"/>
      <c r="M657" s="8"/>
      <c r="N657" s="8"/>
    </row>
    <row r="658" spans="11:14" ht="15.75" customHeight="1" x14ac:dyDescent="0.3">
      <c r="K658" s="8"/>
      <c r="L658" s="8"/>
      <c r="M658" s="8"/>
      <c r="N658" s="8"/>
    </row>
    <row r="659" spans="11:14" ht="15.75" customHeight="1" x14ac:dyDescent="0.3">
      <c r="K659" s="8"/>
      <c r="L659" s="8"/>
      <c r="M659" s="8"/>
      <c r="N659" s="8"/>
    </row>
    <row r="660" spans="11:14" ht="15.75" customHeight="1" x14ac:dyDescent="0.3">
      <c r="K660" s="8"/>
      <c r="L660" s="8"/>
      <c r="M660" s="8"/>
      <c r="N660" s="8"/>
    </row>
    <row r="661" spans="11:14" ht="15.75" customHeight="1" x14ac:dyDescent="0.3">
      <c r="K661" s="8"/>
      <c r="L661" s="8"/>
      <c r="M661" s="8"/>
      <c r="N661" s="8"/>
    </row>
    <row r="662" spans="11:14" ht="15.75" customHeight="1" x14ac:dyDescent="0.3">
      <c r="K662" s="8"/>
      <c r="L662" s="8"/>
      <c r="M662" s="8"/>
      <c r="N662" s="8"/>
    </row>
    <row r="663" spans="11:14" ht="15.75" customHeight="1" x14ac:dyDescent="0.3">
      <c r="K663" s="8"/>
      <c r="L663" s="8"/>
      <c r="M663" s="8"/>
      <c r="N663" s="8"/>
    </row>
    <row r="664" spans="11:14" ht="15.75" customHeight="1" x14ac:dyDescent="0.3">
      <c r="K664" s="8"/>
      <c r="L664" s="8"/>
      <c r="M664" s="8"/>
      <c r="N664" s="8"/>
    </row>
    <row r="665" spans="11:14" ht="15.75" customHeight="1" x14ac:dyDescent="0.3">
      <c r="K665" s="8"/>
      <c r="L665" s="8"/>
      <c r="M665" s="8"/>
      <c r="N665" s="8"/>
    </row>
    <row r="666" spans="11:14" ht="15.75" customHeight="1" x14ac:dyDescent="0.3">
      <c r="K666" s="8"/>
      <c r="L666" s="8"/>
      <c r="M666" s="8"/>
      <c r="N666" s="8"/>
    </row>
    <row r="667" spans="11:14" ht="15.75" customHeight="1" x14ac:dyDescent="0.3">
      <c r="K667" s="8"/>
      <c r="L667" s="8"/>
      <c r="M667" s="8"/>
      <c r="N667" s="8"/>
    </row>
    <row r="668" spans="11:14" ht="15.75" customHeight="1" x14ac:dyDescent="0.3">
      <c r="K668" s="8"/>
      <c r="L668" s="8"/>
      <c r="M668" s="8"/>
      <c r="N668" s="8"/>
    </row>
    <row r="669" spans="11:14" ht="15.75" customHeight="1" x14ac:dyDescent="0.3">
      <c r="K669" s="8"/>
      <c r="L669" s="8"/>
      <c r="M669" s="8"/>
      <c r="N669" s="8"/>
    </row>
    <row r="670" spans="11:14" ht="15.75" customHeight="1" x14ac:dyDescent="0.3">
      <c r="K670" s="8"/>
      <c r="L670" s="8"/>
      <c r="M670" s="8"/>
      <c r="N670" s="8"/>
    </row>
    <row r="671" spans="11:14" ht="15.75" customHeight="1" x14ac:dyDescent="0.3">
      <c r="K671" s="8"/>
      <c r="L671" s="8"/>
      <c r="M671" s="8"/>
      <c r="N671" s="8"/>
    </row>
    <row r="672" spans="11:14" ht="15.75" customHeight="1" x14ac:dyDescent="0.3">
      <c r="K672" s="8"/>
      <c r="L672" s="8"/>
      <c r="M672" s="8"/>
      <c r="N672" s="8"/>
    </row>
    <row r="673" spans="11:14" ht="15.75" customHeight="1" x14ac:dyDescent="0.3">
      <c r="K673" s="8"/>
      <c r="L673" s="8"/>
      <c r="M673" s="8"/>
      <c r="N673" s="8"/>
    </row>
    <row r="674" spans="11:14" ht="15.75" customHeight="1" x14ac:dyDescent="0.3">
      <c r="K674" s="8"/>
      <c r="L674" s="8"/>
      <c r="M674" s="8"/>
      <c r="N674" s="8"/>
    </row>
    <row r="675" spans="11:14" ht="15.75" customHeight="1" x14ac:dyDescent="0.3">
      <c r="K675" s="8"/>
      <c r="L675" s="8"/>
      <c r="M675" s="8"/>
      <c r="N675" s="8"/>
    </row>
    <row r="676" spans="11:14" ht="15.75" customHeight="1" x14ac:dyDescent="0.3">
      <c r="K676" s="8"/>
      <c r="L676" s="8"/>
      <c r="M676" s="8"/>
      <c r="N676" s="8"/>
    </row>
    <row r="677" spans="11:14" ht="15.75" customHeight="1" x14ac:dyDescent="0.3">
      <c r="K677" s="8"/>
      <c r="L677" s="8"/>
      <c r="M677" s="8"/>
      <c r="N677" s="8"/>
    </row>
    <row r="678" spans="11:14" ht="15.75" customHeight="1" x14ac:dyDescent="0.3">
      <c r="K678" s="8"/>
      <c r="L678" s="8"/>
      <c r="M678" s="8"/>
      <c r="N678" s="8"/>
    </row>
    <row r="679" spans="11:14" ht="15.75" customHeight="1" x14ac:dyDescent="0.3">
      <c r="K679" s="8"/>
      <c r="L679" s="8"/>
      <c r="M679" s="8"/>
      <c r="N679" s="8"/>
    </row>
    <row r="680" spans="11:14" ht="15.75" customHeight="1" x14ac:dyDescent="0.3">
      <c r="K680" s="8"/>
      <c r="L680" s="8"/>
      <c r="M680" s="8"/>
      <c r="N680" s="8"/>
    </row>
    <row r="681" spans="11:14" ht="15.75" customHeight="1" x14ac:dyDescent="0.3">
      <c r="K681" s="8"/>
      <c r="L681" s="8"/>
      <c r="M681" s="8"/>
      <c r="N681" s="8"/>
    </row>
    <row r="682" spans="11:14" ht="15.75" customHeight="1" x14ac:dyDescent="0.3">
      <c r="K682" s="8"/>
      <c r="L682" s="8"/>
      <c r="M682" s="8"/>
      <c r="N682" s="8"/>
    </row>
    <row r="683" spans="11:14" ht="15.75" customHeight="1" x14ac:dyDescent="0.3">
      <c r="K683" s="8"/>
      <c r="L683" s="8"/>
      <c r="M683" s="8"/>
      <c r="N683" s="8"/>
    </row>
    <row r="684" spans="11:14" ht="15.75" customHeight="1" x14ac:dyDescent="0.3">
      <c r="K684" s="8"/>
      <c r="L684" s="8"/>
      <c r="M684" s="8"/>
      <c r="N684" s="8"/>
    </row>
    <row r="685" spans="11:14" ht="15.75" customHeight="1" x14ac:dyDescent="0.3">
      <c r="K685" s="8"/>
      <c r="L685" s="8"/>
      <c r="M685" s="8"/>
      <c r="N685" s="8"/>
    </row>
    <row r="686" spans="11:14" ht="15.75" customHeight="1" x14ac:dyDescent="0.3">
      <c r="K686" s="8"/>
      <c r="L686" s="8"/>
      <c r="M686" s="8"/>
      <c r="N686" s="8"/>
    </row>
    <row r="687" spans="11:14" ht="15.75" customHeight="1" x14ac:dyDescent="0.3">
      <c r="K687" s="8"/>
      <c r="L687" s="8"/>
      <c r="M687" s="8"/>
      <c r="N687" s="8"/>
    </row>
    <row r="688" spans="11:14" ht="15.75" customHeight="1" x14ac:dyDescent="0.3">
      <c r="K688" s="8"/>
      <c r="L688" s="8"/>
      <c r="M688" s="8"/>
      <c r="N688" s="8"/>
    </row>
    <row r="689" spans="11:14" ht="15.75" customHeight="1" x14ac:dyDescent="0.3">
      <c r="K689" s="8"/>
      <c r="L689" s="8"/>
      <c r="M689" s="8"/>
      <c r="N689" s="8"/>
    </row>
    <row r="690" spans="11:14" ht="15.75" customHeight="1" x14ac:dyDescent="0.3">
      <c r="K690" s="8"/>
      <c r="L690" s="8"/>
      <c r="M690" s="8"/>
      <c r="N690" s="8"/>
    </row>
    <row r="691" spans="11:14" ht="15.75" customHeight="1" x14ac:dyDescent="0.3">
      <c r="K691" s="8"/>
      <c r="L691" s="8"/>
      <c r="M691" s="8"/>
      <c r="N691" s="8"/>
    </row>
    <row r="692" spans="11:14" ht="15.75" customHeight="1" x14ac:dyDescent="0.3">
      <c r="K692" s="8"/>
      <c r="L692" s="8"/>
      <c r="M692" s="8"/>
      <c r="N692" s="8"/>
    </row>
    <row r="693" spans="11:14" ht="15.75" customHeight="1" x14ac:dyDescent="0.3">
      <c r="K693" s="8"/>
      <c r="L693" s="8"/>
      <c r="M693" s="8"/>
      <c r="N693" s="8"/>
    </row>
    <row r="694" spans="11:14" ht="15.75" customHeight="1" x14ac:dyDescent="0.3">
      <c r="K694" s="8"/>
      <c r="L694" s="8"/>
      <c r="M694" s="8"/>
      <c r="N694" s="8"/>
    </row>
    <row r="695" spans="11:14" ht="15.75" customHeight="1" x14ac:dyDescent="0.3">
      <c r="K695" s="8"/>
      <c r="L695" s="8"/>
      <c r="M695" s="8"/>
      <c r="N695" s="8"/>
    </row>
    <row r="696" spans="11:14" ht="15.75" customHeight="1" x14ac:dyDescent="0.3">
      <c r="K696" s="8"/>
      <c r="L696" s="8"/>
      <c r="M696" s="8"/>
      <c r="N696" s="8"/>
    </row>
    <row r="697" spans="11:14" ht="15.75" customHeight="1" x14ac:dyDescent="0.3">
      <c r="K697" s="8"/>
      <c r="L697" s="8"/>
      <c r="M697" s="8"/>
      <c r="N697" s="8"/>
    </row>
    <row r="698" spans="11:14" ht="15.75" customHeight="1" x14ac:dyDescent="0.3">
      <c r="K698" s="8"/>
      <c r="L698" s="8"/>
      <c r="M698" s="8"/>
      <c r="N698" s="8"/>
    </row>
    <row r="699" spans="11:14" ht="15.75" customHeight="1" x14ac:dyDescent="0.3">
      <c r="K699" s="8"/>
      <c r="L699" s="8"/>
      <c r="M699" s="8"/>
      <c r="N699" s="8"/>
    </row>
    <row r="700" spans="11:14" ht="15.75" customHeight="1" x14ac:dyDescent="0.3">
      <c r="K700" s="8"/>
      <c r="L700" s="8"/>
      <c r="M700" s="8"/>
      <c r="N700" s="8"/>
    </row>
    <row r="701" spans="11:14" ht="15.75" customHeight="1" x14ac:dyDescent="0.3">
      <c r="K701" s="8"/>
      <c r="L701" s="8"/>
      <c r="M701" s="8"/>
      <c r="N701" s="8"/>
    </row>
    <row r="702" spans="11:14" ht="15.75" customHeight="1" x14ac:dyDescent="0.3">
      <c r="K702" s="8"/>
      <c r="L702" s="8"/>
      <c r="M702" s="8"/>
      <c r="N702" s="8"/>
    </row>
    <row r="703" spans="11:14" ht="15.75" customHeight="1" x14ac:dyDescent="0.3">
      <c r="K703" s="8"/>
      <c r="L703" s="8"/>
      <c r="M703" s="8"/>
      <c r="N703" s="8"/>
    </row>
    <row r="704" spans="11:14" ht="15.75" customHeight="1" x14ac:dyDescent="0.3">
      <c r="K704" s="8"/>
      <c r="L704" s="8"/>
      <c r="M704" s="8"/>
      <c r="N704" s="8"/>
    </row>
    <row r="705" spans="11:14" ht="15.75" customHeight="1" x14ac:dyDescent="0.3">
      <c r="K705" s="8"/>
      <c r="L705" s="8"/>
      <c r="M705" s="8"/>
      <c r="N705" s="8"/>
    </row>
    <row r="706" spans="11:14" ht="15.75" customHeight="1" x14ac:dyDescent="0.3">
      <c r="K706" s="8"/>
      <c r="L706" s="8"/>
      <c r="M706" s="8"/>
      <c r="N706" s="8"/>
    </row>
    <row r="707" spans="11:14" ht="15.75" customHeight="1" x14ac:dyDescent="0.3">
      <c r="K707" s="8"/>
      <c r="L707" s="8"/>
      <c r="M707" s="8"/>
      <c r="N707" s="8"/>
    </row>
    <row r="708" spans="11:14" ht="15.75" customHeight="1" x14ac:dyDescent="0.3">
      <c r="K708" s="8"/>
      <c r="L708" s="8"/>
      <c r="M708" s="8"/>
      <c r="N708" s="8"/>
    </row>
    <row r="709" spans="11:14" ht="15.75" customHeight="1" x14ac:dyDescent="0.3">
      <c r="K709" s="8"/>
      <c r="L709" s="8"/>
      <c r="M709" s="8"/>
      <c r="N709" s="8"/>
    </row>
    <row r="710" spans="11:14" ht="15.75" customHeight="1" x14ac:dyDescent="0.3">
      <c r="K710" s="8"/>
      <c r="L710" s="8"/>
      <c r="M710" s="8"/>
      <c r="N710" s="8"/>
    </row>
    <row r="711" spans="11:14" ht="15.75" customHeight="1" x14ac:dyDescent="0.3">
      <c r="K711" s="8"/>
      <c r="L711" s="8"/>
      <c r="M711" s="8"/>
      <c r="N711" s="8"/>
    </row>
    <row r="712" spans="11:14" ht="15.75" customHeight="1" x14ac:dyDescent="0.3">
      <c r="K712" s="8"/>
      <c r="L712" s="8"/>
      <c r="M712" s="8"/>
      <c r="N712" s="8"/>
    </row>
    <row r="713" spans="11:14" ht="15.75" customHeight="1" x14ac:dyDescent="0.3">
      <c r="K713" s="8"/>
      <c r="L713" s="8"/>
      <c r="M713" s="8"/>
      <c r="N713" s="8"/>
    </row>
    <row r="714" spans="11:14" ht="15.75" customHeight="1" x14ac:dyDescent="0.3">
      <c r="K714" s="8"/>
      <c r="L714" s="8"/>
      <c r="M714" s="8"/>
      <c r="N714" s="8"/>
    </row>
    <row r="715" spans="11:14" ht="15.75" customHeight="1" x14ac:dyDescent="0.3">
      <c r="K715" s="8"/>
      <c r="L715" s="8"/>
      <c r="M715" s="8"/>
      <c r="N715" s="8"/>
    </row>
    <row r="716" spans="11:14" ht="15.75" customHeight="1" x14ac:dyDescent="0.3">
      <c r="K716" s="8"/>
      <c r="L716" s="8"/>
      <c r="M716" s="8"/>
      <c r="N716" s="8"/>
    </row>
    <row r="717" spans="11:14" ht="15.75" customHeight="1" x14ac:dyDescent="0.3">
      <c r="K717" s="8"/>
      <c r="L717" s="8"/>
      <c r="M717" s="8"/>
      <c r="N717" s="8"/>
    </row>
    <row r="718" spans="11:14" ht="15.75" customHeight="1" x14ac:dyDescent="0.3">
      <c r="K718" s="8"/>
      <c r="L718" s="8"/>
      <c r="M718" s="8"/>
      <c r="N718" s="8"/>
    </row>
    <row r="719" spans="11:14" ht="15.75" customHeight="1" x14ac:dyDescent="0.3">
      <c r="K719" s="8"/>
      <c r="L719" s="8"/>
      <c r="M719" s="8"/>
      <c r="N719" s="8"/>
    </row>
    <row r="720" spans="11:14" ht="15.75" customHeight="1" x14ac:dyDescent="0.3">
      <c r="K720" s="8"/>
      <c r="L720" s="8"/>
      <c r="M720" s="8"/>
      <c r="N720" s="8"/>
    </row>
    <row r="721" spans="11:14" ht="15.75" customHeight="1" x14ac:dyDescent="0.3">
      <c r="K721" s="8"/>
      <c r="L721" s="8"/>
      <c r="M721" s="8"/>
      <c r="N721" s="8"/>
    </row>
    <row r="722" spans="11:14" ht="15.75" customHeight="1" x14ac:dyDescent="0.3">
      <c r="K722" s="8"/>
      <c r="L722" s="8"/>
      <c r="M722" s="8"/>
      <c r="N722" s="8"/>
    </row>
    <row r="723" spans="11:14" ht="15.75" customHeight="1" x14ac:dyDescent="0.3">
      <c r="K723" s="8"/>
      <c r="L723" s="8"/>
      <c r="M723" s="8"/>
      <c r="N723" s="8"/>
    </row>
    <row r="724" spans="11:14" ht="15.75" customHeight="1" x14ac:dyDescent="0.3">
      <c r="K724" s="8"/>
      <c r="L724" s="8"/>
      <c r="M724" s="8"/>
      <c r="N724" s="8"/>
    </row>
    <row r="725" spans="11:14" ht="15.75" customHeight="1" x14ac:dyDescent="0.3">
      <c r="K725" s="8"/>
      <c r="L725" s="8"/>
      <c r="M725" s="8"/>
      <c r="N725" s="8"/>
    </row>
    <row r="726" spans="11:14" ht="15.75" customHeight="1" x14ac:dyDescent="0.3">
      <c r="K726" s="8"/>
      <c r="L726" s="8"/>
      <c r="M726" s="8"/>
      <c r="N726" s="8"/>
    </row>
    <row r="727" spans="11:14" ht="15.75" customHeight="1" x14ac:dyDescent="0.3">
      <c r="K727" s="8"/>
      <c r="L727" s="8"/>
      <c r="M727" s="8"/>
      <c r="N727" s="8"/>
    </row>
    <row r="728" spans="11:14" ht="15.75" customHeight="1" x14ac:dyDescent="0.3">
      <c r="K728" s="8"/>
      <c r="L728" s="8"/>
      <c r="M728" s="8"/>
      <c r="N728" s="8"/>
    </row>
    <row r="729" spans="11:14" ht="15.75" customHeight="1" x14ac:dyDescent="0.3">
      <c r="K729" s="8"/>
      <c r="L729" s="8"/>
      <c r="M729" s="8"/>
      <c r="N729" s="8"/>
    </row>
    <row r="730" spans="11:14" ht="15.75" customHeight="1" x14ac:dyDescent="0.3">
      <c r="K730" s="8"/>
      <c r="L730" s="8"/>
      <c r="M730" s="8"/>
      <c r="N730" s="8"/>
    </row>
    <row r="731" spans="11:14" ht="15.75" customHeight="1" x14ac:dyDescent="0.3">
      <c r="K731" s="8"/>
      <c r="L731" s="8"/>
      <c r="M731" s="8"/>
      <c r="N731" s="8"/>
    </row>
    <row r="732" spans="11:14" ht="15.75" customHeight="1" x14ac:dyDescent="0.3">
      <c r="K732" s="8"/>
      <c r="L732" s="8"/>
      <c r="M732" s="8"/>
      <c r="N732" s="8"/>
    </row>
    <row r="733" spans="11:14" ht="15.75" customHeight="1" x14ac:dyDescent="0.3">
      <c r="K733" s="8"/>
      <c r="L733" s="8"/>
      <c r="M733" s="8"/>
      <c r="N733" s="8"/>
    </row>
    <row r="734" spans="11:14" ht="15.75" customHeight="1" x14ac:dyDescent="0.3">
      <c r="K734" s="8"/>
      <c r="L734" s="8"/>
      <c r="M734" s="8"/>
      <c r="N734" s="8"/>
    </row>
    <row r="735" spans="11:14" ht="15.75" customHeight="1" x14ac:dyDescent="0.3">
      <c r="K735" s="8"/>
      <c r="L735" s="8"/>
      <c r="M735" s="8"/>
      <c r="N735" s="8"/>
    </row>
    <row r="736" spans="11:14" ht="15.75" customHeight="1" x14ac:dyDescent="0.3">
      <c r="K736" s="8"/>
      <c r="L736" s="8"/>
      <c r="M736" s="8"/>
      <c r="N736" s="8"/>
    </row>
    <row r="737" spans="11:14" ht="15.75" customHeight="1" x14ac:dyDescent="0.3">
      <c r="K737" s="8"/>
      <c r="L737" s="8"/>
      <c r="M737" s="8"/>
      <c r="N737" s="8"/>
    </row>
    <row r="738" spans="11:14" ht="15.75" customHeight="1" x14ac:dyDescent="0.3">
      <c r="K738" s="8"/>
      <c r="L738" s="8"/>
      <c r="M738" s="8"/>
      <c r="N738" s="8"/>
    </row>
    <row r="739" spans="11:14" ht="15.75" customHeight="1" x14ac:dyDescent="0.3">
      <c r="K739" s="8"/>
      <c r="L739" s="8"/>
      <c r="M739" s="8"/>
      <c r="N739" s="8"/>
    </row>
    <row r="740" spans="11:14" ht="15.75" customHeight="1" x14ac:dyDescent="0.3">
      <c r="K740" s="8"/>
      <c r="L740" s="8"/>
      <c r="M740" s="8"/>
      <c r="N740" s="8"/>
    </row>
    <row r="741" spans="11:14" ht="15.75" customHeight="1" x14ac:dyDescent="0.3">
      <c r="K741" s="8"/>
      <c r="L741" s="8"/>
      <c r="M741" s="8"/>
      <c r="N741" s="8"/>
    </row>
    <row r="742" spans="11:14" ht="15.75" customHeight="1" x14ac:dyDescent="0.3">
      <c r="K742" s="8"/>
      <c r="L742" s="8"/>
      <c r="M742" s="8"/>
      <c r="N742" s="8"/>
    </row>
    <row r="743" spans="11:14" ht="15.75" customHeight="1" x14ac:dyDescent="0.3">
      <c r="K743" s="8"/>
      <c r="L743" s="8"/>
      <c r="M743" s="8"/>
      <c r="N743" s="8"/>
    </row>
    <row r="744" spans="11:14" ht="15.75" customHeight="1" x14ac:dyDescent="0.3">
      <c r="K744" s="8"/>
      <c r="L744" s="8"/>
      <c r="M744" s="8"/>
      <c r="N744" s="8"/>
    </row>
    <row r="745" spans="11:14" ht="15.75" customHeight="1" x14ac:dyDescent="0.3">
      <c r="K745" s="8"/>
      <c r="L745" s="8"/>
      <c r="M745" s="8"/>
      <c r="N745" s="8"/>
    </row>
    <row r="746" spans="11:14" ht="15.75" customHeight="1" x14ac:dyDescent="0.3">
      <c r="K746" s="8"/>
      <c r="L746" s="8"/>
      <c r="M746" s="8"/>
      <c r="N746" s="8"/>
    </row>
    <row r="747" spans="11:14" ht="15.75" customHeight="1" x14ac:dyDescent="0.3">
      <c r="K747" s="8"/>
      <c r="L747" s="8"/>
      <c r="M747" s="8"/>
      <c r="N747" s="8"/>
    </row>
    <row r="748" spans="11:14" ht="15.75" customHeight="1" x14ac:dyDescent="0.3">
      <c r="K748" s="8"/>
      <c r="L748" s="8"/>
      <c r="M748" s="8"/>
      <c r="N748" s="8"/>
    </row>
    <row r="749" spans="11:14" ht="15.75" customHeight="1" x14ac:dyDescent="0.3">
      <c r="K749" s="8"/>
      <c r="L749" s="8"/>
      <c r="M749" s="8"/>
      <c r="N749" s="8"/>
    </row>
    <row r="750" spans="11:14" ht="15.75" customHeight="1" x14ac:dyDescent="0.3">
      <c r="K750" s="8"/>
      <c r="L750" s="8"/>
      <c r="M750" s="8"/>
      <c r="N750" s="8"/>
    </row>
    <row r="751" spans="11:14" ht="15.75" customHeight="1" x14ac:dyDescent="0.3">
      <c r="K751" s="8"/>
      <c r="L751" s="8"/>
      <c r="M751" s="8"/>
      <c r="N751" s="8"/>
    </row>
    <row r="752" spans="11:14" ht="15.75" customHeight="1" x14ac:dyDescent="0.3">
      <c r="K752" s="8"/>
      <c r="L752" s="8"/>
      <c r="M752" s="8"/>
      <c r="N752" s="8"/>
    </row>
    <row r="753" spans="11:14" ht="15.75" customHeight="1" x14ac:dyDescent="0.3">
      <c r="K753" s="8"/>
      <c r="L753" s="8"/>
      <c r="M753" s="8"/>
      <c r="N753" s="8"/>
    </row>
    <row r="754" spans="11:14" ht="15.75" customHeight="1" x14ac:dyDescent="0.3">
      <c r="K754" s="8"/>
      <c r="L754" s="8"/>
      <c r="M754" s="8"/>
      <c r="N754" s="8"/>
    </row>
    <row r="755" spans="11:14" ht="15.75" customHeight="1" x14ac:dyDescent="0.3">
      <c r="K755" s="8"/>
      <c r="L755" s="8"/>
      <c r="M755" s="8"/>
      <c r="N755" s="8"/>
    </row>
    <row r="756" spans="11:14" ht="15.75" customHeight="1" x14ac:dyDescent="0.3">
      <c r="K756" s="8"/>
      <c r="L756" s="8"/>
      <c r="M756" s="8"/>
      <c r="N756" s="8"/>
    </row>
    <row r="757" spans="11:14" ht="15.75" customHeight="1" x14ac:dyDescent="0.3">
      <c r="K757" s="8"/>
      <c r="L757" s="8"/>
      <c r="M757" s="8"/>
      <c r="N757" s="8"/>
    </row>
    <row r="758" spans="11:14" ht="15.75" customHeight="1" x14ac:dyDescent="0.3">
      <c r="K758" s="8"/>
      <c r="L758" s="8"/>
      <c r="M758" s="8"/>
      <c r="N758" s="8"/>
    </row>
    <row r="759" spans="11:14" ht="15.75" customHeight="1" x14ac:dyDescent="0.3">
      <c r="K759" s="8"/>
      <c r="L759" s="8"/>
      <c r="M759" s="8"/>
      <c r="N759" s="8"/>
    </row>
    <row r="760" spans="11:14" ht="15.75" customHeight="1" x14ac:dyDescent="0.3">
      <c r="K760" s="8"/>
      <c r="L760" s="8"/>
      <c r="M760" s="8"/>
      <c r="N760" s="8"/>
    </row>
    <row r="761" spans="11:14" ht="15.75" customHeight="1" x14ac:dyDescent="0.3">
      <c r="K761" s="8"/>
      <c r="L761" s="8"/>
      <c r="M761" s="8"/>
      <c r="N761" s="8"/>
    </row>
    <row r="762" spans="11:14" ht="15.75" customHeight="1" x14ac:dyDescent="0.3">
      <c r="K762" s="8"/>
      <c r="L762" s="8"/>
      <c r="M762" s="8"/>
      <c r="N762" s="8"/>
    </row>
    <row r="763" spans="11:14" ht="15.75" customHeight="1" x14ac:dyDescent="0.3">
      <c r="K763" s="8"/>
      <c r="L763" s="8"/>
      <c r="M763" s="8"/>
      <c r="N763" s="8"/>
    </row>
    <row r="764" spans="11:14" ht="15.75" customHeight="1" x14ac:dyDescent="0.3">
      <c r="K764" s="8"/>
      <c r="L764" s="8"/>
      <c r="M764" s="8"/>
      <c r="N764" s="8"/>
    </row>
    <row r="765" spans="11:14" ht="15.75" customHeight="1" x14ac:dyDescent="0.3">
      <c r="K765" s="8"/>
      <c r="L765" s="8"/>
      <c r="M765" s="8"/>
      <c r="N765" s="8"/>
    </row>
    <row r="766" spans="11:14" ht="15.75" customHeight="1" x14ac:dyDescent="0.3">
      <c r="K766" s="8"/>
      <c r="L766" s="8"/>
      <c r="M766" s="8"/>
      <c r="N766" s="8"/>
    </row>
    <row r="767" spans="11:14" ht="15.75" customHeight="1" x14ac:dyDescent="0.3">
      <c r="K767" s="8"/>
      <c r="L767" s="8"/>
      <c r="M767" s="8"/>
      <c r="N767" s="8"/>
    </row>
    <row r="768" spans="11:14" ht="15.75" customHeight="1" x14ac:dyDescent="0.3">
      <c r="K768" s="8"/>
      <c r="L768" s="8"/>
      <c r="M768" s="8"/>
      <c r="N768" s="8"/>
    </row>
    <row r="769" spans="11:14" ht="15.75" customHeight="1" x14ac:dyDescent="0.3">
      <c r="K769" s="8"/>
      <c r="L769" s="8"/>
      <c r="M769" s="8"/>
      <c r="N769" s="8"/>
    </row>
    <row r="770" spans="11:14" ht="15.75" customHeight="1" x14ac:dyDescent="0.3">
      <c r="K770" s="8"/>
      <c r="L770" s="8"/>
      <c r="M770" s="8"/>
      <c r="N770" s="8"/>
    </row>
    <row r="771" spans="11:14" ht="15.75" customHeight="1" x14ac:dyDescent="0.3">
      <c r="K771" s="8"/>
      <c r="L771" s="8"/>
      <c r="M771" s="8"/>
      <c r="N771" s="8"/>
    </row>
    <row r="772" spans="11:14" ht="15.75" customHeight="1" x14ac:dyDescent="0.3">
      <c r="K772" s="8"/>
      <c r="L772" s="8"/>
      <c r="M772" s="8"/>
      <c r="N772" s="8"/>
    </row>
    <row r="773" spans="11:14" ht="15.75" customHeight="1" x14ac:dyDescent="0.3">
      <c r="K773" s="8"/>
      <c r="L773" s="8"/>
      <c r="M773" s="8"/>
      <c r="N773" s="8"/>
    </row>
    <row r="774" spans="11:14" ht="15.75" customHeight="1" x14ac:dyDescent="0.3">
      <c r="K774" s="8"/>
      <c r="L774" s="8"/>
      <c r="M774" s="8"/>
      <c r="N774" s="8"/>
    </row>
    <row r="775" spans="11:14" ht="15.75" customHeight="1" x14ac:dyDescent="0.3">
      <c r="K775" s="8"/>
      <c r="L775" s="8"/>
      <c r="M775" s="8"/>
      <c r="N775" s="8"/>
    </row>
    <row r="776" spans="11:14" ht="15.75" customHeight="1" x14ac:dyDescent="0.3">
      <c r="K776" s="8"/>
      <c r="L776" s="8"/>
      <c r="M776" s="8"/>
      <c r="N776" s="8"/>
    </row>
    <row r="777" spans="11:14" ht="15.75" customHeight="1" x14ac:dyDescent="0.3">
      <c r="K777" s="8"/>
      <c r="L777" s="8"/>
      <c r="M777" s="8"/>
      <c r="N777" s="8"/>
    </row>
    <row r="778" spans="11:14" ht="15.75" customHeight="1" x14ac:dyDescent="0.3">
      <c r="K778" s="8"/>
      <c r="L778" s="8"/>
      <c r="M778" s="8"/>
      <c r="N778" s="8"/>
    </row>
    <row r="779" spans="11:14" ht="15.75" customHeight="1" x14ac:dyDescent="0.3">
      <c r="K779" s="8"/>
      <c r="L779" s="8"/>
      <c r="M779" s="8"/>
      <c r="N779" s="8"/>
    </row>
    <row r="780" spans="11:14" ht="15.75" customHeight="1" x14ac:dyDescent="0.3">
      <c r="K780" s="8"/>
      <c r="L780" s="8"/>
      <c r="M780" s="8"/>
      <c r="N780" s="8"/>
    </row>
    <row r="781" spans="11:14" ht="15.75" customHeight="1" x14ac:dyDescent="0.3">
      <c r="K781" s="8"/>
      <c r="L781" s="8"/>
      <c r="M781" s="8"/>
      <c r="N781" s="8"/>
    </row>
    <row r="782" spans="11:14" ht="15.75" customHeight="1" x14ac:dyDescent="0.3">
      <c r="K782" s="8"/>
      <c r="L782" s="8"/>
      <c r="M782" s="8"/>
      <c r="N782" s="8"/>
    </row>
    <row r="783" spans="11:14" ht="15.75" customHeight="1" x14ac:dyDescent="0.3">
      <c r="K783" s="8"/>
      <c r="L783" s="8"/>
      <c r="M783" s="8"/>
      <c r="N783" s="8"/>
    </row>
    <row r="784" spans="11:14" ht="15.75" customHeight="1" x14ac:dyDescent="0.3">
      <c r="K784" s="8"/>
      <c r="L784" s="8"/>
      <c r="M784" s="8"/>
      <c r="N784" s="8"/>
    </row>
    <row r="785" spans="11:14" ht="15.75" customHeight="1" x14ac:dyDescent="0.3">
      <c r="K785" s="8"/>
      <c r="L785" s="8"/>
      <c r="M785" s="8"/>
      <c r="N785" s="8"/>
    </row>
    <row r="786" spans="11:14" ht="15.75" customHeight="1" x14ac:dyDescent="0.3">
      <c r="K786" s="8"/>
      <c r="L786" s="8"/>
      <c r="M786" s="8"/>
      <c r="N786" s="8"/>
    </row>
    <row r="787" spans="11:14" ht="15.75" customHeight="1" x14ac:dyDescent="0.3">
      <c r="K787" s="8"/>
      <c r="L787" s="8"/>
      <c r="M787" s="8"/>
      <c r="N787" s="8"/>
    </row>
    <row r="788" spans="11:14" ht="15.75" customHeight="1" x14ac:dyDescent="0.3">
      <c r="K788" s="8"/>
      <c r="L788" s="8"/>
      <c r="M788" s="8"/>
      <c r="N788" s="8"/>
    </row>
    <row r="789" spans="11:14" ht="15.75" customHeight="1" x14ac:dyDescent="0.3">
      <c r="K789" s="8"/>
      <c r="L789" s="8"/>
      <c r="M789" s="8"/>
      <c r="N789" s="8"/>
    </row>
    <row r="790" spans="11:14" ht="15.75" customHeight="1" x14ac:dyDescent="0.3">
      <c r="K790" s="8"/>
      <c r="L790" s="8"/>
      <c r="M790" s="8"/>
      <c r="N790" s="8"/>
    </row>
    <row r="791" spans="11:14" ht="15.75" customHeight="1" x14ac:dyDescent="0.3">
      <c r="K791" s="8"/>
      <c r="L791" s="8"/>
      <c r="M791" s="8"/>
      <c r="N791" s="8"/>
    </row>
    <row r="792" spans="11:14" ht="15.75" customHeight="1" x14ac:dyDescent="0.3">
      <c r="K792" s="8"/>
      <c r="L792" s="8"/>
      <c r="M792" s="8"/>
      <c r="N792" s="8"/>
    </row>
    <row r="793" spans="11:14" ht="15.75" customHeight="1" x14ac:dyDescent="0.3">
      <c r="K793" s="8"/>
      <c r="L793" s="8"/>
      <c r="M793" s="8"/>
      <c r="N793" s="8"/>
    </row>
    <row r="794" spans="11:14" ht="15.75" customHeight="1" x14ac:dyDescent="0.3">
      <c r="K794" s="8"/>
      <c r="L794" s="8"/>
      <c r="M794" s="8"/>
      <c r="N794" s="8"/>
    </row>
    <row r="795" spans="11:14" ht="15.75" customHeight="1" x14ac:dyDescent="0.3">
      <c r="K795" s="8"/>
      <c r="L795" s="8"/>
      <c r="M795" s="8"/>
      <c r="N795" s="8"/>
    </row>
    <row r="796" spans="11:14" ht="15.75" customHeight="1" x14ac:dyDescent="0.3">
      <c r="K796" s="8"/>
      <c r="L796" s="8"/>
      <c r="M796" s="8"/>
      <c r="N796" s="8"/>
    </row>
    <row r="797" spans="11:14" ht="15.75" customHeight="1" x14ac:dyDescent="0.3">
      <c r="K797" s="8"/>
      <c r="L797" s="8"/>
      <c r="M797" s="8"/>
      <c r="N797" s="8"/>
    </row>
    <row r="798" spans="11:14" ht="15.75" customHeight="1" x14ac:dyDescent="0.3">
      <c r="K798" s="8"/>
      <c r="L798" s="8"/>
      <c r="M798" s="8"/>
      <c r="N798" s="8"/>
    </row>
    <row r="799" spans="11:14" ht="15.75" customHeight="1" x14ac:dyDescent="0.3">
      <c r="K799" s="8"/>
      <c r="L799" s="8"/>
      <c r="M799" s="8"/>
      <c r="N799" s="8"/>
    </row>
    <row r="800" spans="11:14" ht="15.75" customHeight="1" x14ac:dyDescent="0.3">
      <c r="K800" s="8"/>
      <c r="L800" s="8"/>
      <c r="M800" s="8"/>
      <c r="N800" s="8"/>
    </row>
    <row r="801" spans="11:14" ht="15.75" customHeight="1" x14ac:dyDescent="0.3">
      <c r="K801" s="8"/>
      <c r="L801" s="8"/>
      <c r="M801" s="8"/>
      <c r="N801" s="8"/>
    </row>
    <row r="802" spans="11:14" ht="15.75" customHeight="1" x14ac:dyDescent="0.3">
      <c r="K802" s="8"/>
      <c r="L802" s="8"/>
      <c r="M802" s="8"/>
      <c r="N802" s="8"/>
    </row>
    <row r="803" spans="11:14" ht="15.75" customHeight="1" x14ac:dyDescent="0.3">
      <c r="K803" s="8"/>
      <c r="L803" s="8"/>
      <c r="M803" s="8"/>
      <c r="N803" s="8"/>
    </row>
    <row r="804" spans="11:14" ht="15.75" customHeight="1" x14ac:dyDescent="0.3">
      <c r="K804" s="8"/>
      <c r="L804" s="8"/>
      <c r="M804" s="8"/>
      <c r="N804" s="8"/>
    </row>
    <row r="805" spans="11:14" ht="15.75" customHeight="1" x14ac:dyDescent="0.3">
      <c r="K805" s="8"/>
      <c r="L805" s="8"/>
      <c r="M805" s="8"/>
      <c r="N805" s="8"/>
    </row>
    <row r="806" spans="11:14" ht="15.75" customHeight="1" x14ac:dyDescent="0.3">
      <c r="K806" s="8"/>
      <c r="L806" s="8"/>
      <c r="M806" s="8"/>
      <c r="N806" s="8"/>
    </row>
    <row r="807" spans="11:14" ht="15.75" customHeight="1" x14ac:dyDescent="0.3">
      <c r="K807" s="8"/>
      <c r="L807" s="8"/>
      <c r="M807" s="8"/>
      <c r="N807" s="8"/>
    </row>
    <row r="808" spans="11:14" ht="15.75" customHeight="1" x14ac:dyDescent="0.3">
      <c r="K808" s="8"/>
      <c r="L808" s="8"/>
      <c r="M808" s="8"/>
      <c r="N808" s="8"/>
    </row>
    <row r="809" spans="11:14" ht="15.75" customHeight="1" x14ac:dyDescent="0.3">
      <c r="K809" s="8"/>
      <c r="L809" s="8"/>
      <c r="M809" s="8"/>
      <c r="N809" s="8"/>
    </row>
    <row r="810" spans="11:14" ht="15.75" customHeight="1" x14ac:dyDescent="0.3">
      <c r="K810" s="8"/>
      <c r="L810" s="8"/>
      <c r="M810" s="8"/>
      <c r="N810" s="8"/>
    </row>
    <row r="811" spans="11:14" ht="15.75" customHeight="1" x14ac:dyDescent="0.3">
      <c r="K811" s="8"/>
      <c r="L811" s="8"/>
      <c r="M811" s="8"/>
      <c r="N811" s="8"/>
    </row>
    <row r="812" spans="11:14" ht="15.75" customHeight="1" x14ac:dyDescent="0.3">
      <c r="K812" s="8"/>
      <c r="L812" s="8"/>
      <c r="M812" s="8"/>
      <c r="N812" s="8"/>
    </row>
    <row r="813" spans="11:14" ht="15.75" customHeight="1" x14ac:dyDescent="0.3">
      <c r="K813" s="8"/>
      <c r="L813" s="8"/>
      <c r="M813" s="8"/>
      <c r="N813" s="8"/>
    </row>
    <row r="814" spans="11:14" ht="15.75" customHeight="1" x14ac:dyDescent="0.3">
      <c r="K814" s="8"/>
      <c r="L814" s="8"/>
      <c r="M814" s="8"/>
      <c r="N814" s="8"/>
    </row>
    <row r="815" spans="11:14" ht="15.75" customHeight="1" x14ac:dyDescent="0.3">
      <c r="K815" s="8"/>
      <c r="L815" s="8"/>
      <c r="M815" s="8"/>
      <c r="N815" s="8"/>
    </row>
    <row r="816" spans="11:14" ht="15.75" customHeight="1" x14ac:dyDescent="0.3">
      <c r="K816" s="8"/>
      <c r="L816" s="8"/>
      <c r="M816" s="8"/>
      <c r="N816" s="8"/>
    </row>
    <row r="817" spans="11:14" ht="15.75" customHeight="1" x14ac:dyDescent="0.3">
      <c r="K817" s="8"/>
      <c r="L817" s="8"/>
      <c r="M817" s="8"/>
      <c r="N817" s="8"/>
    </row>
    <row r="818" spans="11:14" ht="15.75" customHeight="1" x14ac:dyDescent="0.3">
      <c r="K818" s="8"/>
      <c r="L818" s="8"/>
      <c r="M818" s="8"/>
      <c r="N818" s="8"/>
    </row>
    <row r="819" spans="11:14" ht="15.75" customHeight="1" x14ac:dyDescent="0.3">
      <c r="K819" s="8"/>
      <c r="L819" s="8"/>
      <c r="M819" s="8"/>
      <c r="N819" s="8"/>
    </row>
    <row r="820" spans="11:14" ht="15.75" customHeight="1" x14ac:dyDescent="0.3">
      <c r="K820" s="8"/>
      <c r="L820" s="8"/>
      <c r="M820" s="8"/>
      <c r="N820" s="8"/>
    </row>
    <row r="821" spans="11:14" ht="15.75" customHeight="1" x14ac:dyDescent="0.3">
      <c r="K821" s="8"/>
      <c r="L821" s="8"/>
      <c r="M821" s="8"/>
      <c r="N821" s="8"/>
    </row>
    <row r="822" spans="11:14" ht="15.75" customHeight="1" x14ac:dyDescent="0.3">
      <c r="K822" s="8"/>
      <c r="L822" s="8"/>
      <c r="M822" s="8"/>
      <c r="N822" s="8"/>
    </row>
    <row r="823" spans="11:14" ht="15.75" customHeight="1" x14ac:dyDescent="0.3">
      <c r="K823" s="8"/>
      <c r="L823" s="8"/>
      <c r="M823" s="8"/>
      <c r="N823" s="8"/>
    </row>
    <row r="824" spans="11:14" ht="15.75" customHeight="1" x14ac:dyDescent="0.3">
      <c r="K824" s="8"/>
      <c r="L824" s="8"/>
      <c r="M824" s="8"/>
      <c r="N824" s="8"/>
    </row>
    <row r="825" spans="11:14" ht="15.75" customHeight="1" x14ac:dyDescent="0.3">
      <c r="K825" s="8"/>
      <c r="L825" s="8"/>
      <c r="M825" s="8"/>
      <c r="N825" s="8"/>
    </row>
    <row r="826" spans="11:14" ht="15.75" customHeight="1" x14ac:dyDescent="0.3">
      <c r="K826" s="8"/>
      <c r="L826" s="8"/>
      <c r="M826" s="8"/>
      <c r="N826" s="8"/>
    </row>
    <row r="827" spans="11:14" ht="15.75" customHeight="1" x14ac:dyDescent="0.3">
      <c r="K827" s="8"/>
      <c r="L827" s="8"/>
      <c r="M827" s="8"/>
      <c r="N827" s="8"/>
    </row>
    <row r="828" spans="11:14" ht="15.75" customHeight="1" x14ac:dyDescent="0.3">
      <c r="K828" s="8"/>
      <c r="L828" s="8"/>
      <c r="M828" s="8"/>
      <c r="N828" s="8"/>
    </row>
    <row r="829" spans="11:14" ht="15.75" customHeight="1" x14ac:dyDescent="0.3">
      <c r="K829" s="8"/>
      <c r="L829" s="8"/>
      <c r="M829" s="8"/>
      <c r="N829" s="8"/>
    </row>
    <row r="830" spans="11:14" ht="15.75" customHeight="1" x14ac:dyDescent="0.3">
      <c r="K830" s="8"/>
      <c r="L830" s="8"/>
      <c r="M830" s="8"/>
      <c r="N830" s="8"/>
    </row>
    <row r="831" spans="11:14" ht="15.75" customHeight="1" x14ac:dyDescent="0.3">
      <c r="K831" s="8"/>
      <c r="L831" s="8"/>
      <c r="M831" s="8"/>
      <c r="N831" s="8"/>
    </row>
    <row r="832" spans="11:14" ht="15.75" customHeight="1" x14ac:dyDescent="0.3">
      <c r="K832" s="8"/>
      <c r="L832" s="8"/>
      <c r="M832" s="8"/>
      <c r="N832" s="8"/>
    </row>
    <row r="833" spans="11:14" ht="15.75" customHeight="1" x14ac:dyDescent="0.3">
      <c r="K833" s="8"/>
      <c r="L833" s="8"/>
      <c r="M833" s="8"/>
      <c r="N833" s="8"/>
    </row>
    <row r="834" spans="11:14" ht="15.75" customHeight="1" x14ac:dyDescent="0.3">
      <c r="K834" s="8"/>
      <c r="L834" s="8"/>
      <c r="M834" s="8"/>
      <c r="N834" s="8"/>
    </row>
    <row r="835" spans="11:14" ht="15.75" customHeight="1" x14ac:dyDescent="0.3">
      <c r="K835" s="8"/>
      <c r="L835" s="8"/>
      <c r="M835" s="8"/>
      <c r="N835" s="8"/>
    </row>
    <row r="836" spans="11:14" ht="15.75" customHeight="1" x14ac:dyDescent="0.3">
      <c r="K836" s="8"/>
      <c r="L836" s="8"/>
      <c r="M836" s="8"/>
      <c r="N836" s="8"/>
    </row>
    <row r="837" spans="11:14" ht="15.75" customHeight="1" x14ac:dyDescent="0.3">
      <c r="K837" s="8"/>
      <c r="L837" s="8"/>
      <c r="M837" s="8"/>
      <c r="N837" s="8"/>
    </row>
    <row r="838" spans="11:14" ht="15.75" customHeight="1" x14ac:dyDescent="0.3">
      <c r="K838" s="8"/>
      <c r="L838" s="8"/>
      <c r="M838" s="8"/>
      <c r="N838" s="8"/>
    </row>
    <row r="839" spans="11:14" ht="15.75" customHeight="1" x14ac:dyDescent="0.3">
      <c r="K839" s="8"/>
      <c r="L839" s="8"/>
      <c r="M839" s="8"/>
      <c r="N839" s="8"/>
    </row>
    <row r="840" spans="11:14" ht="15.75" customHeight="1" x14ac:dyDescent="0.3">
      <c r="K840" s="8"/>
      <c r="L840" s="8"/>
      <c r="M840" s="8"/>
      <c r="N840" s="8"/>
    </row>
    <row r="841" spans="11:14" ht="15.75" customHeight="1" x14ac:dyDescent="0.3">
      <c r="K841" s="8"/>
      <c r="L841" s="8"/>
      <c r="M841" s="8"/>
      <c r="N841" s="8"/>
    </row>
    <row r="842" spans="11:14" ht="15.75" customHeight="1" x14ac:dyDescent="0.3">
      <c r="K842" s="8"/>
      <c r="L842" s="8"/>
      <c r="M842" s="8"/>
      <c r="N842" s="8"/>
    </row>
    <row r="843" spans="11:14" ht="15.75" customHeight="1" x14ac:dyDescent="0.3">
      <c r="K843" s="8"/>
      <c r="L843" s="8"/>
      <c r="M843" s="8"/>
      <c r="N843" s="8"/>
    </row>
    <row r="844" spans="11:14" ht="15.75" customHeight="1" x14ac:dyDescent="0.3">
      <c r="K844" s="8"/>
      <c r="L844" s="8"/>
      <c r="M844" s="8"/>
      <c r="N844" s="8"/>
    </row>
    <row r="845" spans="11:14" ht="15.75" customHeight="1" x14ac:dyDescent="0.3">
      <c r="K845" s="8"/>
      <c r="L845" s="8"/>
      <c r="M845" s="8"/>
      <c r="N845" s="8"/>
    </row>
    <row r="846" spans="11:14" ht="15.75" customHeight="1" x14ac:dyDescent="0.3">
      <c r="K846" s="8"/>
      <c r="L846" s="8"/>
      <c r="M846" s="8"/>
      <c r="N846" s="8"/>
    </row>
    <row r="847" spans="11:14" ht="15.75" customHeight="1" x14ac:dyDescent="0.3">
      <c r="K847" s="8"/>
      <c r="L847" s="8"/>
      <c r="M847" s="8"/>
      <c r="N847" s="8"/>
    </row>
    <row r="848" spans="11:14" ht="15.75" customHeight="1" x14ac:dyDescent="0.3">
      <c r="K848" s="8"/>
      <c r="L848" s="8"/>
      <c r="M848" s="8"/>
      <c r="N848" s="8"/>
    </row>
    <row r="849" spans="11:14" ht="15.75" customHeight="1" x14ac:dyDescent="0.3">
      <c r="K849" s="8"/>
      <c r="L849" s="8"/>
      <c r="M849" s="8"/>
      <c r="N849" s="8"/>
    </row>
    <row r="850" spans="11:14" ht="15.75" customHeight="1" x14ac:dyDescent="0.3">
      <c r="K850" s="8"/>
      <c r="L850" s="8"/>
      <c r="M850" s="8"/>
      <c r="N850" s="8"/>
    </row>
    <row r="851" spans="11:14" ht="15.75" customHeight="1" x14ac:dyDescent="0.3">
      <c r="K851" s="8"/>
      <c r="L851" s="8"/>
      <c r="M851" s="8"/>
      <c r="N851" s="8"/>
    </row>
    <row r="852" spans="11:14" ht="15.75" customHeight="1" x14ac:dyDescent="0.3">
      <c r="K852" s="8"/>
      <c r="L852" s="8"/>
      <c r="M852" s="8"/>
      <c r="N852" s="8"/>
    </row>
    <row r="853" spans="11:14" ht="15.75" customHeight="1" x14ac:dyDescent="0.3">
      <c r="K853" s="8"/>
      <c r="L853" s="8"/>
      <c r="M853" s="8"/>
      <c r="N853" s="8"/>
    </row>
    <row r="854" spans="11:14" ht="15.75" customHeight="1" x14ac:dyDescent="0.3">
      <c r="K854" s="8"/>
      <c r="L854" s="8"/>
      <c r="M854" s="8"/>
      <c r="N854" s="8"/>
    </row>
    <row r="855" spans="11:14" ht="15.75" customHeight="1" x14ac:dyDescent="0.3">
      <c r="K855" s="8"/>
      <c r="L855" s="8"/>
      <c r="M855" s="8"/>
      <c r="N855" s="8"/>
    </row>
    <row r="856" spans="11:14" ht="15.75" customHeight="1" x14ac:dyDescent="0.3">
      <c r="K856" s="8"/>
      <c r="L856" s="8"/>
      <c r="M856" s="8"/>
      <c r="N856" s="8"/>
    </row>
    <row r="857" spans="11:14" ht="15.75" customHeight="1" x14ac:dyDescent="0.3">
      <c r="K857" s="8"/>
      <c r="L857" s="8"/>
      <c r="M857" s="8"/>
      <c r="N857" s="8"/>
    </row>
    <row r="858" spans="11:14" ht="15.75" customHeight="1" x14ac:dyDescent="0.3">
      <c r="K858" s="8"/>
      <c r="L858" s="8"/>
      <c r="M858" s="8"/>
      <c r="N858" s="8"/>
    </row>
    <row r="859" spans="11:14" ht="15.75" customHeight="1" x14ac:dyDescent="0.3">
      <c r="K859" s="8"/>
      <c r="L859" s="8"/>
      <c r="M859" s="8"/>
      <c r="N859" s="8"/>
    </row>
    <row r="860" spans="11:14" ht="15.75" customHeight="1" x14ac:dyDescent="0.3">
      <c r="K860" s="8"/>
      <c r="L860" s="8"/>
      <c r="M860" s="8"/>
      <c r="N860" s="8"/>
    </row>
    <row r="861" spans="11:14" ht="15.75" customHeight="1" x14ac:dyDescent="0.3">
      <c r="K861" s="8"/>
      <c r="L861" s="8"/>
      <c r="M861" s="8"/>
      <c r="N861" s="8"/>
    </row>
    <row r="862" spans="11:14" ht="15.75" customHeight="1" x14ac:dyDescent="0.3">
      <c r="K862" s="8"/>
      <c r="L862" s="8"/>
      <c r="M862" s="8"/>
      <c r="N862" s="8"/>
    </row>
    <row r="863" spans="11:14" ht="15.75" customHeight="1" x14ac:dyDescent="0.3">
      <c r="K863" s="8"/>
      <c r="L863" s="8"/>
      <c r="M863" s="8"/>
      <c r="N863" s="8"/>
    </row>
    <row r="864" spans="11:14" ht="15.75" customHeight="1" x14ac:dyDescent="0.3">
      <c r="K864" s="8"/>
      <c r="L864" s="8"/>
      <c r="M864" s="8"/>
      <c r="N864" s="8"/>
    </row>
    <row r="865" spans="11:14" ht="15.75" customHeight="1" x14ac:dyDescent="0.3">
      <c r="K865" s="8"/>
      <c r="L865" s="8"/>
      <c r="M865" s="8"/>
      <c r="N865" s="8"/>
    </row>
    <row r="866" spans="11:14" ht="15.75" customHeight="1" x14ac:dyDescent="0.3">
      <c r="K866" s="8"/>
      <c r="L866" s="8"/>
      <c r="M866" s="8"/>
      <c r="N866" s="8"/>
    </row>
    <row r="867" spans="11:14" ht="15.75" customHeight="1" x14ac:dyDescent="0.3">
      <c r="K867" s="8"/>
      <c r="L867" s="8"/>
      <c r="M867" s="8"/>
      <c r="N867" s="8"/>
    </row>
    <row r="868" spans="11:14" ht="15.75" customHeight="1" x14ac:dyDescent="0.3">
      <c r="K868" s="8"/>
      <c r="L868" s="8"/>
      <c r="M868" s="8"/>
      <c r="N868" s="8"/>
    </row>
    <row r="869" spans="11:14" ht="15.75" customHeight="1" x14ac:dyDescent="0.3">
      <c r="K869" s="8"/>
      <c r="L869" s="8"/>
      <c r="M869" s="8"/>
      <c r="N869" s="8"/>
    </row>
    <row r="870" spans="11:14" ht="15.75" customHeight="1" x14ac:dyDescent="0.3">
      <c r="K870" s="8"/>
      <c r="L870" s="8"/>
      <c r="M870" s="8"/>
      <c r="N870" s="8"/>
    </row>
    <row r="871" spans="11:14" ht="15.75" customHeight="1" x14ac:dyDescent="0.3">
      <c r="K871" s="8"/>
      <c r="L871" s="8"/>
      <c r="M871" s="8"/>
      <c r="N871" s="8"/>
    </row>
    <row r="872" spans="11:14" ht="15.75" customHeight="1" x14ac:dyDescent="0.3">
      <c r="K872" s="8"/>
      <c r="L872" s="8"/>
      <c r="M872" s="8"/>
      <c r="N872" s="8"/>
    </row>
    <row r="873" spans="11:14" ht="15.75" customHeight="1" x14ac:dyDescent="0.3">
      <c r="K873" s="8"/>
      <c r="L873" s="8"/>
      <c r="M873" s="8"/>
      <c r="N873" s="8"/>
    </row>
    <row r="874" spans="11:14" ht="15.75" customHeight="1" x14ac:dyDescent="0.3">
      <c r="K874" s="8"/>
      <c r="L874" s="8"/>
      <c r="M874" s="8"/>
      <c r="N874" s="8"/>
    </row>
    <row r="875" spans="11:14" ht="15.75" customHeight="1" x14ac:dyDescent="0.3">
      <c r="K875" s="8"/>
      <c r="L875" s="8"/>
      <c r="M875" s="8"/>
      <c r="N875" s="8"/>
    </row>
    <row r="876" spans="11:14" ht="15.75" customHeight="1" x14ac:dyDescent="0.3">
      <c r="K876" s="8"/>
      <c r="L876" s="8"/>
      <c r="M876" s="8"/>
      <c r="N876" s="8"/>
    </row>
    <row r="877" spans="11:14" ht="15.75" customHeight="1" x14ac:dyDescent="0.3">
      <c r="K877" s="8"/>
      <c r="L877" s="8"/>
      <c r="M877" s="8"/>
      <c r="N877" s="8"/>
    </row>
    <row r="878" spans="11:14" ht="15.75" customHeight="1" x14ac:dyDescent="0.3">
      <c r="K878" s="8"/>
      <c r="L878" s="8"/>
      <c r="M878" s="8"/>
      <c r="N878" s="8"/>
    </row>
    <row r="879" spans="11:14" ht="15.75" customHeight="1" x14ac:dyDescent="0.3">
      <c r="K879" s="8"/>
      <c r="L879" s="8"/>
      <c r="M879" s="8"/>
      <c r="N879" s="8"/>
    </row>
    <row r="880" spans="11:14" ht="15.75" customHeight="1" x14ac:dyDescent="0.3">
      <c r="K880" s="8"/>
      <c r="L880" s="8"/>
      <c r="M880" s="8"/>
      <c r="N880" s="8"/>
    </row>
    <row r="881" spans="11:14" ht="15.75" customHeight="1" x14ac:dyDescent="0.3">
      <c r="K881" s="8"/>
      <c r="L881" s="8"/>
      <c r="M881" s="8"/>
      <c r="N881" s="8"/>
    </row>
    <row r="882" spans="11:14" ht="15.75" customHeight="1" x14ac:dyDescent="0.3">
      <c r="K882" s="8"/>
      <c r="L882" s="8"/>
      <c r="M882" s="8"/>
      <c r="N882" s="8"/>
    </row>
    <row r="883" spans="11:14" ht="15.75" customHeight="1" x14ac:dyDescent="0.3">
      <c r="K883" s="8"/>
      <c r="L883" s="8"/>
      <c r="M883" s="8"/>
      <c r="N883" s="8"/>
    </row>
    <row r="884" spans="11:14" ht="15.75" customHeight="1" x14ac:dyDescent="0.3">
      <c r="K884" s="8"/>
      <c r="L884" s="8"/>
      <c r="M884" s="8"/>
      <c r="N884" s="8"/>
    </row>
    <row r="885" spans="11:14" ht="15.75" customHeight="1" x14ac:dyDescent="0.3">
      <c r="K885" s="8"/>
      <c r="L885" s="8"/>
      <c r="M885" s="8"/>
      <c r="N885" s="8"/>
    </row>
    <row r="886" spans="11:14" ht="15.75" customHeight="1" x14ac:dyDescent="0.3">
      <c r="K886" s="8"/>
      <c r="L886" s="8"/>
      <c r="M886" s="8"/>
      <c r="N886" s="8"/>
    </row>
    <row r="887" spans="11:14" ht="15.75" customHeight="1" x14ac:dyDescent="0.3">
      <c r="K887" s="8"/>
      <c r="L887" s="8"/>
      <c r="M887" s="8"/>
      <c r="N887" s="8"/>
    </row>
    <row r="888" spans="11:14" ht="15.75" customHeight="1" x14ac:dyDescent="0.3">
      <c r="K888" s="8"/>
      <c r="L888" s="8"/>
      <c r="M888" s="8"/>
      <c r="N888" s="8"/>
    </row>
    <row r="889" spans="11:14" ht="15.75" customHeight="1" x14ac:dyDescent="0.3">
      <c r="K889" s="8"/>
      <c r="L889" s="8"/>
      <c r="M889" s="8"/>
      <c r="N889" s="8"/>
    </row>
    <row r="890" spans="11:14" ht="15.75" customHeight="1" x14ac:dyDescent="0.3">
      <c r="K890" s="8"/>
      <c r="L890" s="8"/>
      <c r="M890" s="8"/>
      <c r="N890" s="8"/>
    </row>
    <row r="891" spans="11:14" ht="15.75" customHeight="1" x14ac:dyDescent="0.3">
      <c r="K891" s="8"/>
      <c r="L891" s="8"/>
      <c r="M891" s="8"/>
      <c r="N891" s="8"/>
    </row>
    <row r="892" spans="11:14" ht="15.75" customHeight="1" x14ac:dyDescent="0.3">
      <c r="K892" s="8"/>
      <c r="L892" s="8"/>
      <c r="M892" s="8"/>
      <c r="N892" s="8"/>
    </row>
    <row r="893" spans="11:14" ht="15.75" customHeight="1" x14ac:dyDescent="0.3">
      <c r="K893" s="8"/>
      <c r="L893" s="8"/>
      <c r="M893" s="8"/>
      <c r="N893" s="8"/>
    </row>
    <row r="894" spans="11:14" ht="15.75" customHeight="1" x14ac:dyDescent="0.3">
      <c r="K894" s="8"/>
      <c r="L894" s="8"/>
      <c r="M894" s="8"/>
      <c r="N894" s="8"/>
    </row>
    <row r="895" spans="11:14" ht="15.75" customHeight="1" x14ac:dyDescent="0.3">
      <c r="K895" s="8"/>
      <c r="L895" s="8"/>
      <c r="M895" s="8"/>
      <c r="N895" s="8"/>
    </row>
    <row r="896" spans="11:14" ht="15.75" customHeight="1" x14ac:dyDescent="0.3">
      <c r="K896" s="8"/>
      <c r="L896" s="8"/>
      <c r="M896" s="8"/>
      <c r="N896" s="8"/>
    </row>
    <row r="897" spans="11:14" ht="15.75" customHeight="1" x14ac:dyDescent="0.3">
      <c r="K897" s="8"/>
      <c r="L897" s="8"/>
      <c r="M897" s="8"/>
      <c r="N897" s="8"/>
    </row>
    <row r="898" spans="11:14" ht="15.75" customHeight="1" x14ac:dyDescent="0.3">
      <c r="K898" s="8"/>
      <c r="L898" s="8"/>
      <c r="M898" s="8"/>
      <c r="N898" s="8"/>
    </row>
    <row r="899" spans="11:14" ht="15.75" customHeight="1" x14ac:dyDescent="0.3">
      <c r="K899" s="8"/>
      <c r="L899" s="8"/>
      <c r="M899" s="8"/>
      <c r="N899" s="8"/>
    </row>
    <row r="900" spans="11:14" ht="15.75" customHeight="1" x14ac:dyDescent="0.3">
      <c r="K900" s="8"/>
      <c r="L900" s="8"/>
      <c r="M900" s="8"/>
      <c r="N900" s="8"/>
    </row>
    <row r="901" spans="11:14" ht="15.75" customHeight="1" x14ac:dyDescent="0.3">
      <c r="K901" s="8"/>
      <c r="L901" s="8"/>
      <c r="M901" s="8"/>
      <c r="N901" s="8"/>
    </row>
    <row r="902" spans="11:14" ht="15.75" customHeight="1" x14ac:dyDescent="0.3">
      <c r="K902" s="8"/>
      <c r="L902" s="8"/>
      <c r="M902" s="8"/>
      <c r="N902" s="8"/>
    </row>
    <row r="903" spans="11:14" ht="15.75" customHeight="1" x14ac:dyDescent="0.3">
      <c r="K903" s="8"/>
      <c r="L903" s="8"/>
      <c r="M903" s="8"/>
      <c r="N903" s="8"/>
    </row>
    <row r="904" spans="11:14" ht="15.75" customHeight="1" x14ac:dyDescent="0.3">
      <c r="K904" s="8"/>
      <c r="L904" s="8"/>
      <c r="M904" s="8"/>
      <c r="N904" s="8"/>
    </row>
    <row r="905" spans="11:14" ht="15.75" customHeight="1" x14ac:dyDescent="0.3">
      <c r="K905" s="8"/>
      <c r="L905" s="8"/>
      <c r="M905" s="8"/>
      <c r="N905" s="8"/>
    </row>
    <row r="906" spans="11:14" ht="15.75" customHeight="1" x14ac:dyDescent="0.3">
      <c r="K906" s="8"/>
      <c r="L906" s="8"/>
      <c r="M906" s="8"/>
      <c r="N906" s="8"/>
    </row>
    <row r="907" spans="11:14" ht="15.75" customHeight="1" x14ac:dyDescent="0.3">
      <c r="K907" s="8"/>
      <c r="L907" s="8"/>
      <c r="M907" s="8"/>
      <c r="N907" s="8"/>
    </row>
    <row r="908" spans="11:14" ht="15.75" customHeight="1" x14ac:dyDescent="0.3">
      <c r="K908" s="8"/>
      <c r="L908" s="8"/>
      <c r="M908" s="8"/>
      <c r="N908" s="8"/>
    </row>
    <row r="909" spans="11:14" ht="15.75" customHeight="1" x14ac:dyDescent="0.3">
      <c r="K909" s="8"/>
      <c r="L909" s="8"/>
      <c r="M909" s="8"/>
      <c r="N909" s="8"/>
    </row>
    <row r="910" spans="11:14" ht="15.75" customHeight="1" x14ac:dyDescent="0.3">
      <c r="K910" s="8"/>
      <c r="L910" s="8"/>
      <c r="M910" s="8"/>
      <c r="N910" s="8"/>
    </row>
    <row r="911" spans="11:14" ht="15.75" customHeight="1" x14ac:dyDescent="0.3">
      <c r="K911" s="8"/>
      <c r="L911" s="8"/>
      <c r="M911" s="8"/>
      <c r="N911" s="8"/>
    </row>
    <row r="912" spans="11:14" ht="15.75" customHeight="1" x14ac:dyDescent="0.3">
      <c r="K912" s="8"/>
      <c r="L912" s="8"/>
      <c r="M912" s="8"/>
      <c r="N912" s="8"/>
    </row>
    <row r="913" spans="11:14" ht="15.75" customHeight="1" x14ac:dyDescent="0.3">
      <c r="K913" s="8"/>
      <c r="L913" s="8"/>
      <c r="M913" s="8"/>
      <c r="N913" s="8"/>
    </row>
    <row r="914" spans="11:14" ht="15.75" customHeight="1" x14ac:dyDescent="0.3">
      <c r="K914" s="8"/>
      <c r="L914" s="8"/>
      <c r="M914" s="8"/>
      <c r="N914" s="8"/>
    </row>
    <row r="915" spans="11:14" ht="15.75" customHeight="1" x14ac:dyDescent="0.3">
      <c r="K915" s="8"/>
      <c r="L915" s="8"/>
      <c r="M915" s="8"/>
      <c r="N915" s="8"/>
    </row>
    <row r="916" spans="11:14" ht="15.75" customHeight="1" x14ac:dyDescent="0.3">
      <c r="K916" s="8"/>
      <c r="L916" s="8"/>
      <c r="M916" s="8"/>
      <c r="N916" s="8"/>
    </row>
    <row r="917" spans="11:14" ht="15.75" customHeight="1" x14ac:dyDescent="0.3">
      <c r="K917" s="8"/>
      <c r="L917" s="8"/>
      <c r="M917" s="8"/>
      <c r="N917" s="8"/>
    </row>
    <row r="918" spans="11:14" ht="15.75" customHeight="1" x14ac:dyDescent="0.3">
      <c r="K918" s="8"/>
      <c r="L918" s="8"/>
      <c r="M918" s="8"/>
      <c r="N918" s="8"/>
    </row>
    <row r="919" spans="11:14" ht="15.75" customHeight="1" x14ac:dyDescent="0.3">
      <c r="K919" s="8"/>
      <c r="L919" s="8"/>
      <c r="M919" s="8"/>
      <c r="N919" s="8"/>
    </row>
    <row r="920" spans="11:14" ht="15.75" customHeight="1" x14ac:dyDescent="0.3">
      <c r="K920" s="8"/>
      <c r="L920" s="8"/>
      <c r="M920" s="8"/>
      <c r="N920" s="8"/>
    </row>
    <row r="921" spans="11:14" ht="15.75" customHeight="1" x14ac:dyDescent="0.3">
      <c r="K921" s="8"/>
      <c r="L921" s="8"/>
      <c r="M921" s="8"/>
      <c r="N921" s="8"/>
    </row>
    <row r="922" spans="11:14" ht="15.75" customHeight="1" x14ac:dyDescent="0.3">
      <c r="K922" s="8"/>
      <c r="L922" s="8"/>
      <c r="M922" s="8"/>
      <c r="N922" s="8"/>
    </row>
    <row r="923" spans="11:14" ht="15.75" customHeight="1" x14ac:dyDescent="0.3">
      <c r="K923" s="8"/>
      <c r="L923" s="8"/>
      <c r="M923" s="8"/>
      <c r="N923" s="8"/>
    </row>
    <row r="924" spans="11:14" ht="15.75" customHeight="1" x14ac:dyDescent="0.3">
      <c r="K924" s="8"/>
      <c r="L924" s="8"/>
      <c r="M924" s="8"/>
      <c r="N924" s="8"/>
    </row>
    <row r="925" spans="11:14" ht="15.75" customHeight="1" x14ac:dyDescent="0.3">
      <c r="K925" s="8"/>
      <c r="L925" s="8"/>
      <c r="M925" s="8"/>
      <c r="N925" s="8"/>
    </row>
    <row r="926" spans="11:14" ht="15.75" customHeight="1" x14ac:dyDescent="0.3">
      <c r="K926" s="8"/>
      <c r="L926" s="8"/>
      <c r="M926" s="8"/>
      <c r="N926" s="8"/>
    </row>
    <row r="927" spans="11:14" ht="15.75" customHeight="1" x14ac:dyDescent="0.3">
      <c r="K927" s="8"/>
      <c r="L927" s="8"/>
      <c r="M927" s="8"/>
      <c r="N927" s="8"/>
    </row>
    <row r="928" spans="11:14" ht="15.75" customHeight="1" x14ac:dyDescent="0.3">
      <c r="K928" s="8"/>
      <c r="L928" s="8"/>
      <c r="M928" s="8"/>
      <c r="N928" s="8"/>
    </row>
    <row r="929" spans="11:14" ht="15.75" customHeight="1" x14ac:dyDescent="0.3">
      <c r="K929" s="8"/>
      <c r="L929" s="8"/>
      <c r="M929" s="8"/>
      <c r="N929" s="8"/>
    </row>
    <row r="930" spans="11:14" ht="15.75" customHeight="1" x14ac:dyDescent="0.3">
      <c r="K930" s="8"/>
      <c r="L930" s="8"/>
      <c r="M930" s="8"/>
      <c r="N930" s="8"/>
    </row>
    <row r="931" spans="11:14" ht="15.75" customHeight="1" x14ac:dyDescent="0.3">
      <c r="K931" s="8"/>
      <c r="L931" s="8"/>
      <c r="M931" s="8"/>
      <c r="N931" s="8"/>
    </row>
    <row r="932" spans="11:14" ht="15.75" customHeight="1" x14ac:dyDescent="0.3">
      <c r="K932" s="8"/>
      <c r="L932" s="8"/>
      <c r="M932" s="8"/>
      <c r="N932" s="8"/>
    </row>
    <row r="933" spans="11:14" ht="15.75" customHeight="1" x14ac:dyDescent="0.3">
      <c r="K933" s="8"/>
      <c r="L933" s="8"/>
      <c r="M933" s="8"/>
      <c r="N933" s="8"/>
    </row>
    <row r="934" spans="11:14" ht="15.75" customHeight="1" x14ac:dyDescent="0.3">
      <c r="K934" s="8"/>
      <c r="L934" s="8"/>
      <c r="M934" s="8"/>
      <c r="N934" s="8"/>
    </row>
    <row r="935" spans="11:14" ht="15.75" customHeight="1" x14ac:dyDescent="0.3">
      <c r="K935" s="8"/>
      <c r="L935" s="8"/>
      <c r="M935" s="8"/>
      <c r="N935" s="8"/>
    </row>
    <row r="936" spans="11:14" ht="15.75" customHeight="1" x14ac:dyDescent="0.3">
      <c r="K936" s="8"/>
      <c r="L936" s="8"/>
      <c r="M936" s="8"/>
      <c r="N936" s="8"/>
    </row>
    <row r="937" spans="11:14" ht="15.75" customHeight="1" x14ac:dyDescent="0.3">
      <c r="K937" s="8"/>
      <c r="L937" s="8"/>
      <c r="M937" s="8"/>
      <c r="N937" s="8"/>
    </row>
    <row r="938" spans="11:14" ht="15.75" customHeight="1" x14ac:dyDescent="0.3">
      <c r="K938" s="8"/>
      <c r="L938" s="8"/>
      <c r="M938" s="8"/>
      <c r="N938" s="8"/>
    </row>
    <row r="939" spans="11:14" ht="15.75" customHeight="1" x14ac:dyDescent="0.3">
      <c r="K939" s="8"/>
      <c r="L939" s="8"/>
      <c r="M939" s="8"/>
      <c r="N939" s="8"/>
    </row>
    <row r="940" spans="11:14" ht="15.75" customHeight="1" x14ac:dyDescent="0.3">
      <c r="K940" s="8"/>
      <c r="L940" s="8"/>
      <c r="M940" s="8"/>
      <c r="N940" s="8"/>
    </row>
    <row r="941" spans="11:14" ht="15.75" customHeight="1" x14ac:dyDescent="0.3">
      <c r="K941" s="8"/>
      <c r="L941" s="8"/>
      <c r="M941" s="8"/>
      <c r="N941" s="8"/>
    </row>
    <row r="942" spans="11:14" ht="15.75" customHeight="1" x14ac:dyDescent="0.3">
      <c r="K942" s="8"/>
      <c r="L942" s="8"/>
      <c r="M942" s="8"/>
      <c r="N942" s="8"/>
    </row>
    <row r="943" spans="11:14" ht="15.75" customHeight="1" x14ac:dyDescent="0.3">
      <c r="K943" s="8"/>
      <c r="L943" s="8"/>
      <c r="M943" s="8"/>
      <c r="N943" s="8"/>
    </row>
    <row r="944" spans="11:14" ht="15.75" customHeight="1" x14ac:dyDescent="0.3">
      <c r="K944" s="8"/>
      <c r="L944" s="8"/>
      <c r="M944" s="8"/>
      <c r="N944" s="8"/>
    </row>
    <row r="945" spans="11:14" ht="15.75" customHeight="1" x14ac:dyDescent="0.3">
      <c r="K945" s="8"/>
      <c r="L945" s="8"/>
      <c r="M945" s="8"/>
      <c r="N945" s="8"/>
    </row>
    <row r="946" spans="11:14" ht="15.75" customHeight="1" x14ac:dyDescent="0.3">
      <c r="K946" s="8"/>
      <c r="L946" s="8"/>
      <c r="M946" s="8"/>
      <c r="N946" s="8"/>
    </row>
    <row r="947" spans="11:14" ht="15.75" customHeight="1" x14ac:dyDescent="0.3">
      <c r="K947" s="8"/>
      <c r="L947" s="8"/>
      <c r="M947" s="8"/>
      <c r="N947" s="8"/>
    </row>
    <row r="948" spans="11:14" ht="15.75" customHeight="1" x14ac:dyDescent="0.3">
      <c r="K948" s="8"/>
      <c r="L948" s="8"/>
      <c r="M948" s="8"/>
      <c r="N948" s="8"/>
    </row>
    <row r="949" spans="11:14" ht="15.75" customHeight="1" x14ac:dyDescent="0.3">
      <c r="K949" s="8"/>
      <c r="L949" s="8"/>
      <c r="M949" s="8"/>
      <c r="N949" s="8"/>
    </row>
    <row r="950" spans="11:14" ht="15.75" customHeight="1" x14ac:dyDescent="0.3">
      <c r="K950" s="8"/>
      <c r="L950" s="8"/>
      <c r="M950" s="8"/>
      <c r="N950" s="8"/>
    </row>
    <row r="951" spans="11:14" ht="15.75" customHeight="1" x14ac:dyDescent="0.3">
      <c r="K951" s="8"/>
      <c r="L951" s="8"/>
      <c r="M951" s="8"/>
      <c r="N951" s="8"/>
    </row>
    <row r="952" spans="11:14" ht="15.75" customHeight="1" x14ac:dyDescent="0.3">
      <c r="K952" s="8"/>
      <c r="L952" s="8"/>
      <c r="M952" s="8"/>
      <c r="N952" s="8"/>
    </row>
    <row r="953" spans="11:14" ht="15.75" customHeight="1" x14ac:dyDescent="0.3">
      <c r="K953" s="8"/>
      <c r="L953" s="8"/>
      <c r="M953" s="8"/>
      <c r="N953" s="8"/>
    </row>
    <row r="954" spans="11:14" ht="15.75" customHeight="1" x14ac:dyDescent="0.3">
      <c r="K954" s="8"/>
      <c r="L954" s="8"/>
      <c r="M954" s="8"/>
      <c r="N954" s="8"/>
    </row>
    <row r="955" spans="11:14" ht="15.75" customHeight="1" x14ac:dyDescent="0.3">
      <c r="K955" s="8"/>
      <c r="L955" s="8"/>
      <c r="M955" s="8"/>
      <c r="N955" s="8"/>
    </row>
    <row r="956" spans="11:14" ht="15.75" customHeight="1" x14ac:dyDescent="0.3">
      <c r="K956" s="8"/>
      <c r="L956" s="8"/>
      <c r="M956" s="8"/>
      <c r="N956" s="8"/>
    </row>
    <row r="957" spans="11:14" ht="15.75" customHeight="1" x14ac:dyDescent="0.3">
      <c r="K957" s="8"/>
      <c r="L957" s="8"/>
      <c r="M957" s="8"/>
      <c r="N957" s="8"/>
    </row>
    <row r="958" spans="11:14" ht="15.75" customHeight="1" x14ac:dyDescent="0.3">
      <c r="K958" s="8"/>
      <c r="L958" s="8"/>
      <c r="M958" s="8"/>
      <c r="N958" s="8"/>
    </row>
    <row r="959" spans="11:14" ht="15.75" customHeight="1" x14ac:dyDescent="0.3">
      <c r="K959" s="8"/>
      <c r="L959" s="8"/>
      <c r="M959" s="8"/>
      <c r="N959" s="8"/>
    </row>
    <row r="960" spans="11:14" ht="15.75" customHeight="1" x14ac:dyDescent="0.3">
      <c r="K960" s="8"/>
      <c r="L960" s="8"/>
      <c r="M960" s="8"/>
      <c r="N960" s="8"/>
    </row>
    <row r="961" spans="11:14" ht="15.75" customHeight="1" x14ac:dyDescent="0.3">
      <c r="K961" s="8"/>
      <c r="L961" s="8"/>
      <c r="M961" s="8"/>
      <c r="N961" s="8"/>
    </row>
    <row r="962" spans="11:14" ht="15.75" customHeight="1" x14ac:dyDescent="0.3">
      <c r="K962" s="8"/>
      <c r="L962" s="8"/>
      <c r="M962" s="8"/>
      <c r="N962" s="8"/>
    </row>
    <row r="963" spans="11:14" ht="15.75" customHeight="1" x14ac:dyDescent="0.3">
      <c r="K963" s="8"/>
      <c r="L963" s="8"/>
      <c r="M963" s="8"/>
      <c r="N963" s="8"/>
    </row>
    <row r="964" spans="11:14" ht="15.75" customHeight="1" x14ac:dyDescent="0.3">
      <c r="K964" s="8"/>
      <c r="L964" s="8"/>
      <c r="M964" s="8"/>
      <c r="N964" s="8"/>
    </row>
    <row r="965" spans="11:14" ht="15.75" customHeight="1" x14ac:dyDescent="0.3">
      <c r="K965" s="8"/>
      <c r="L965" s="8"/>
      <c r="M965" s="8"/>
      <c r="N965" s="8"/>
    </row>
    <row r="966" spans="11:14" ht="15.75" customHeight="1" x14ac:dyDescent="0.3">
      <c r="K966" s="8"/>
      <c r="L966" s="8"/>
      <c r="M966" s="8"/>
      <c r="N966" s="8"/>
    </row>
    <row r="967" spans="11:14" ht="15.75" customHeight="1" x14ac:dyDescent="0.3">
      <c r="K967" s="8"/>
      <c r="L967" s="8"/>
      <c r="M967" s="8"/>
      <c r="N967" s="8"/>
    </row>
    <row r="968" spans="11:14" ht="15.75" customHeight="1" x14ac:dyDescent="0.3">
      <c r="K968" s="8"/>
      <c r="L968" s="8"/>
      <c r="M968" s="8"/>
      <c r="N968" s="8"/>
    </row>
    <row r="969" spans="11:14" ht="15.75" customHeight="1" x14ac:dyDescent="0.3">
      <c r="K969" s="8"/>
      <c r="L969" s="8"/>
      <c r="M969" s="8"/>
      <c r="N969" s="8"/>
    </row>
    <row r="970" spans="11:14" ht="15.75" customHeight="1" x14ac:dyDescent="0.3">
      <c r="K970" s="8"/>
      <c r="L970" s="8"/>
      <c r="M970" s="8"/>
      <c r="N970" s="8"/>
    </row>
    <row r="971" spans="11:14" ht="15.75" customHeight="1" x14ac:dyDescent="0.3">
      <c r="K971" s="8"/>
      <c r="L971" s="8"/>
      <c r="M971" s="8"/>
      <c r="N971" s="8"/>
    </row>
    <row r="972" spans="11:14" ht="15.75" customHeight="1" x14ac:dyDescent="0.3">
      <c r="K972" s="8"/>
      <c r="L972" s="8"/>
      <c r="M972" s="8"/>
      <c r="N972" s="8"/>
    </row>
    <row r="973" spans="11:14" ht="15.75" customHeight="1" x14ac:dyDescent="0.3">
      <c r="K973" s="8"/>
      <c r="L973" s="8"/>
      <c r="M973" s="8"/>
      <c r="N973" s="8"/>
    </row>
    <row r="974" spans="11:14" ht="15.75" customHeight="1" x14ac:dyDescent="0.3">
      <c r="K974" s="8"/>
      <c r="L974" s="8"/>
      <c r="M974" s="8"/>
      <c r="N974" s="8"/>
    </row>
    <row r="975" spans="11:14" ht="15.75" customHeight="1" x14ac:dyDescent="0.3">
      <c r="K975" s="8"/>
      <c r="L975" s="8"/>
      <c r="M975" s="8"/>
      <c r="N975" s="8"/>
    </row>
    <row r="976" spans="11:14" ht="15.75" customHeight="1" x14ac:dyDescent="0.3">
      <c r="K976" s="8"/>
      <c r="L976" s="8"/>
      <c r="M976" s="8"/>
      <c r="N976" s="8"/>
    </row>
    <row r="977" spans="11:14" ht="15.75" customHeight="1" x14ac:dyDescent="0.3">
      <c r="K977" s="8"/>
      <c r="L977" s="8"/>
      <c r="M977" s="8"/>
      <c r="N977" s="8"/>
    </row>
    <row r="978" spans="11:14" ht="15.75" customHeight="1" x14ac:dyDescent="0.3">
      <c r="K978" s="8"/>
      <c r="L978" s="8"/>
      <c r="M978" s="8"/>
      <c r="N978" s="8"/>
    </row>
    <row r="979" spans="11:14" ht="15.75" customHeight="1" x14ac:dyDescent="0.3">
      <c r="K979" s="8"/>
      <c r="L979" s="8"/>
      <c r="M979" s="8"/>
      <c r="N979" s="8"/>
    </row>
    <row r="980" spans="11:14" ht="15.75" customHeight="1" x14ac:dyDescent="0.3">
      <c r="K980" s="8"/>
      <c r="L980" s="8"/>
      <c r="M980" s="8"/>
      <c r="N980" s="8"/>
    </row>
    <row r="981" spans="11:14" ht="15.75" customHeight="1" x14ac:dyDescent="0.3">
      <c r="K981" s="8"/>
      <c r="L981" s="8"/>
      <c r="M981" s="8"/>
      <c r="N981" s="8"/>
    </row>
    <row r="982" spans="11:14" ht="15.75" customHeight="1" x14ac:dyDescent="0.3">
      <c r="K982" s="8"/>
      <c r="L982" s="8"/>
      <c r="M982" s="8"/>
      <c r="N982" s="8"/>
    </row>
    <row r="983" spans="11:14" ht="15.75" customHeight="1" x14ac:dyDescent="0.3">
      <c r="K983" s="8"/>
      <c r="L983" s="8"/>
      <c r="M983" s="8"/>
      <c r="N983" s="8"/>
    </row>
    <row r="984" spans="11:14" ht="15.75" customHeight="1" x14ac:dyDescent="0.3">
      <c r="K984" s="8"/>
      <c r="L984" s="8"/>
      <c r="M984" s="8"/>
      <c r="N984" s="8"/>
    </row>
    <row r="985" spans="11:14" ht="15.75" customHeight="1" x14ac:dyDescent="0.3">
      <c r="K985" s="8"/>
      <c r="L985" s="8"/>
      <c r="M985" s="8"/>
      <c r="N985" s="8"/>
    </row>
    <row r="986" spans="11:14" ht="15.75" customHeight="1" x14ac:dyDescent="0.3">
      <c r="K986" s="8"/>
      <c r="L986" s="8"/>
      <c r="M986" s="8"/>
      <c r="N986" s="8"/>
    </row>
    <row r="987" spans="11:14" ht="15.75" customHeight="1" x14ac:dyDescent="0.3">
      <c r="K987" s="8"/>
      <c r="L987" s="8"/>
      <c r="M987" s="8"/>
      <c r="N987" s="8"/>
    </row>
    <row r="988" spans="11:14" ht="15.75" customHeight="1" x14ac:dyDescent="0.3">
      <c r="K988" s="8"/>
      <c r="L988" s="8"/>
      <c r="M988" s="8"/>
      <c r="N988" s="8"/>
    </row>
    <row r="989" spans="11:14" ht="15.75" customHeight="1" x14ac:dyDescent="0.3">
      <c r="K989" s="8"/>
      <c r="L989" s="8"/>
      <c r="M989" s="8"/>
      <c r="N989" s="8"/>
    </row>
    <row r="990" spans="11:14" ht="15.75" customHeight="1" x14ac:dyDescent="0.3">
      <c r="K990" s="8"/>
      <c r="L990" s="8"/>
      <c r="M990" s="8"/>
      <c r="N990" s="8"/>
    </row>
    <row r="991" spans="11:14" ht="15.75" customHeight="1" x14ac:dyDescent="0.3">
      <c r="K991" s="8"/>
      <c r="L991" s="8"/>
      <c r="M991" s="8"/>
      <c r="N991" s="8"/>
    </row>
    <row r="992" spans="11:14" ht="15.75" customHeight="1" x14ac:dyDescent="0.3">
      <c r="K992" s="8"/>
      <c r="L992" s="8"/>
      <c r="M992" s="8"/>
      <c r="N992" s="8"/>
    </row>
    <row r="993" spans="11:14" ht="15.75" customHeight="1" x14ac:dyDescent="0.3">
      <c r="K993" s="8"/>
      <c r="L993" s="8"/>
      <c r="M993" s="8"/>
      <c r="N993" s="8"/>
    </row>
    <row r="994" spans="11:14" ht="15.75" customHeight="1" x14ac:dyDescent="0.3">
      <c r="K994" s="8"/>
      <c r="L994" s="8"/>
      <c r="M994" s="8"/>
      <c r="N994" s="8"/>
    </row>
    <row r="995" spans="11:14" ht="15.75" customHeight="1" x14ac:dyDescent="0.3">
      <c r="K995" s="8"/>
      <c r="L995" s="8"/>
      <c r="M995" s="8"/>
      <c r="N995" s="8"/>
    </row>
    <row r="996" spans="11:14" ht="15.75" customHeight="1" x14ac:dyDescent="0.3">
      <c r="K996" s="8"/>
      <c r="L996" s="8"/>
      <c r="M996" s="8"/>
      <c r="N996" s="8"/>
    </row>
    <row r="997" spans="11:14" ht="15.75" customHeight="1" x14ac:dyDescent="0.3">
      <c r="K997" s="8"/>
      <c r="L997" s="8"/>
      <c r="M997" s="8"/>
      <c r="N997" s="8"/>
    </row>
    <row r="998" spans="11:14" ht="15.75" customHeight="1" x14ac:dyDescent="0.3">
      <c r="K998" s="8"/>
      <c r="L998" s="8"/>
      <c r="M998" s="8"/>
      <c r="N998" s="8"/>
    </row>
    <row r="999" spans="11:14" ht="15.75" customHeight="1" x14ac:dyDescent="0.3">
      <c r="K999" s="8"/>
      <c r="L999" s="8"/>
      <c r="M999" s="8"/>
      <c r="N999" s="8"/>
    </row>
    <row r="1000" spans="11:14" ht="15.75" customHeight="1" x14ac:dyDescent="0.3">
      <c r="K1000" s="8"/>
      <c r="L1000" s="8"/>
      <c r="M1000" s="8"/>
      <c r="N1000" s="8"/>
    </row>
    <row r="1001" spans="11:14" ht="15.75" customHeight="1" x14ac:dyDescent="0.3">
      <c r="K1001" s="8"/>
      <c r="L1001" s="8"/>
      <c r="M1001" s="8"/>
      <c r="N1001" s="8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0F506B-CF02-4A42-8647-58BAAB5512B8}">
  <dimension ref="A1:S1001"/>
  <sheetViews>
    <sheetView showGridLines="0" workbookViewId="0">
      <selection activeCell="M19" sqref="M19"/>
    </sheetView>
  </sheetViews>
  <sheetFormatPr defaultColWidth="14.5" defaultRowHeight="15.6" x14ac:dyDescent="0.3"/>
  <cols>
    <col min="1" max="1" width="48.796875" style="4" customWidth="1"/>
    <col min="2" max="2" width="1.296875" style="49" customWidth="1"/>
    <col min="3" max="3" width="1.19921875" style="4" customWidth="1"/>
    <col min="4" max="4" width="9.19921875" style="4" hidden="1" customWidth="1"/>
    <col min="5" max="5" width="9.296875" style="4" hidden="1" customWidth="1"/>
    <col min="6" max="6" width="9.19921875" style="4" hidden="1" customWidth="1"/>
    <col min="7" max="7" width="9.5" style="4" customWidth="1"/>
    <col min="8" max="10" width="9.19921875" style="4" customWidth="1"/>
    <col min="11" max="14" width="10.69921875" style="4" customWidth="1"/>
    <col min="15" max="26" width="8.69921875" style="4" customWidth="1"/>
    <col min="27" max="16384" width="14.5" style="4"/>
  </cols>
  <sheetData>
    <row r="1" spans="1:19" ht="58.5" customHeight="1" x14ac:dyDescent="0.45">
      <c r="A1" s="1" t="s">
        <v>1</v>
      </c>
      <c r="B1" s="58"/>
      <c r="C1" s="2"/>
      <c r="D1" s="3" t="s">
        <v>206</v>
      </c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</row>
    <row r="2" spans="1:19" ht="14.4" x14ac:dyDescent="0.3">
      <c r="A2" s="4" t="s">
        <v>2</v>
      </c>
    </row>
    <row r="3" spans="1:19" ht="14.4" x14ac:dyDescent="0.3">
      <c r="A3" s="4" t="s">
        <v>207</v>
      </c>
    </row>
    <row r="4" spans="1:19" ht="14.4" x14ac:dyDescent="0.3">
      <c r="A4" s="5" t="s">
        <v>4</v>
      </c>
      <c r="D4" s="5" t="s">
        <v>5</v>
      </c>
      <c r="E4" s="5" t="s">
        <v>6</v>
      </c>
      <c r="F4" s="5" t="s">
        <v>7</v>
      </c>
      <c r="G4" s="5" t="s">
        <v>8</v>
      </c>
      <c r="H4" s="5" t="s">
        <v>9</v>
      </c>
      <c r="I4" s="5" t="s">
        <v>10</v>
      </c>
      <c r="J4" s="5" t="s">
        <v>11</v>
      </c>
      <c r="K4" s="7">
        <v>45382</v>
      </c>
      <c r="L4" s="7">
        <v>45747</v>
      </c>
      <c r="M4" s="7">
        <v>46112</v>
      </c>
      <c r="N4" s="7">
        <v>46477</v>
      </c>
    </row>
    <row r="5" spans="1:19" ht="15" thickBot="1" x14ac:dyDescent="0.35">
      <c r="A5" s="50" t="s">
        <v>12</v>
      </c>
      <c r="B5" s="51"/>
      <c r="C5" s="52"/>
      <c r="D5" s="50" t="s">
        <v>13</v>
      </c>
      <c r="E5" s="50" t="s">
        <v>14</v>
      </c>
      <c r="F5" s="50" t="s">
        <v>15</v>
      </c>
      <c r="G5" s="50" t="s">
        <v>16</v>
      </c>
      <c r="H5" s="50" t="s">
        <v>17</v>
      </c>
      <c r="I5" s="50" t="s">
        <v>18</v>
      </c>
      <c r="J5" s="50" t="s">
        <v>19</v>
      </c>
      <c r="K5" s="53" t="s">
        <v>20</v>
      </c>
      <c r="L5" s="53" t="s">
        <v>21</v>
      </c>
      <c r="M5" s="53" t="s">
        <v>22</v>
      </c>
      <c r="N5" s="53" t="s">
        <v>23</v>
      </c>
    </row>
    <row r="6" spans="1:19" ht="15" thickTop="1" x14ac:dyDescent="0.3">
      <c r="K6" s="8"/>
      <c r="L6" s="8"/>
      <c r="M6" s="8"/>
      <c r="N6" s="8"/>
    </row>
    <row r="7" spans="1:19" ht="14.4" x14ac:dyDescent="0.3">
      <c r="A7" s="4" t="str">
        <f>IS!A7</f>
        <v>Revenue from Operations</v>
      </c>
      <c r="G7" s="29">
        <f>IS!G7</f>
        <v>21051.54</v>
      </c>
      <c r="H7" s="29">
        <f>IS!H7</f>
        <v>21644</v>
      </c>
      <c r="I7" s="29">
        <f>IS!I7</f>
        <v>28799</v>
      </c>
      <c r="J7" s="29">
        <f>IS!J7</f>
        <v>40575</v>
      </c>
      <c r="K7" s="37">
        <f ca="1">IS!K7</f>
        <v>53142.15848588325</v>
      </c>
      <c r="L7" s="37">
        <f ca="1">IS!L7</f>
        <v>68752.181627029946</v>
      </c>
      <c r="M7" s="37">
        <f ca="1">IS!M7</f>
        <v>88082.979231111633</v>
      </c>
      <c r="N7" s="37">
        <f ca="1">IS!N7</f>
        <v>111960.3700410124</v>
      </c>
    </row>
    <row r="8" spans="1:19" ht="14.4" x14ac:dyDescent="0.3">
      <c r="K8" s="8"/>
      <c r="L8" s="8"/>
      <c r="M8" s="8"/>
      <c r="N8" s="8"/>
    </row>
    <row r="9" spans="1:19" ht="14.4" x14ac:dyDescent="0.3">
      <c r="K9" s="8"/>
      <c r="L9" s="8"/>
      <c r="M9" s="8"/>
      <c r="N9" s="8"/>
    </row>
    <row r="10" spans="1:19" x14ac:dyDescent="0.3">
      <c r="A10" s="4" t="s">
        <v>213</v>
      </c>
      <c r="G10" s="59">
        <f>1745</f>
        <v>1745</v>
      </c>
      <c r="H10" s="59">
        <v>1796</v>
      </c>
      <c r="I10" s="59">
        <f>1929</f>
        <v>1929</v>
      </c>
      <c r="J10" s="59">
        <f>2361</f>
        <v>2361</v>
      </c>
      <c r="K10" s="68">
        <f ca="1">J10+K11</f>
        <v>2769.5533443904292</v>
      </c>
      <c r="L10" s="68">
        <f t="shared" ref="L10:N10" ca="1" si="0">K10+L11</f>
        <v>3298.115498020732</v>
      </c>
      <c r="M10" s="68">
        <f t="shared" ca="1" si="0"/>
        <v>3975.2915250032061</v>
      </c>
      <c r="N10" s="68">
        <f t="shared" ca="1" si="0"/>
        <v>4836.0353284675784</v>
      </c>
    </row>
    <row r="11" spans="1:19" x14ac:dyDescent="0.3">
      <c r="A11" s="4" t="s">
        <v>211</v>
      </c>
      <c r="G11" s="60">
        <v>114</v>
      </c>
      <c r="H11" s="61">
        <f>190</f>
        <v>190</v>
      </c>
      <c r="I11" s="61">
        <f>190</f>
        <v>190</v>
      </c>
      <c r="J11" s="61">
        <v>432</v>
      </c>
      <c r="K11" s="37">
        <f ca="1">K7*K16</f>
        <v>408.55334439042934</v>
      </c>
      <c r="L11" s="37">
        <f t="shared" ref="L11:N11" ca="1" si="1">L7*L16</f>
        <v>528.56215363030265</v>
      </c>
      <c r="M11" s="37">
        <f t="shared" ca="1" si="1"/>
        <v>677.17602698247401</v>
      </c>
      <c r="N11" s="37">
        <f t="shared" ca="1" si="1"/>
        <v>860.74380346437283</v>
      </c>
    </row>
    <row r="12" spans="1:19" x14ac:dyDescent="0.3">
      <c r="A12" s="4" t="s">
        <v>214</v>
      </c>
      <c r="G12" s="60">
        <f>64</f>
        <v>64</v>
      </c>
      <c r="H12" s="61">
        <f>-57</f>
        <v>-57</v>
      </c>
      <c r="I12" s="61"/>
      <c r="J12" s="61"/>
      <c r="K12" s="8"/>
      <c r="L12" s="8"/>
      <c r="M12" s="8"/>
      <c r="N12" s="8"/>
    </row>
    <row r="13" spans="1:19" ht="14.4" x14ac:dyDescent="0.3">
      <c r="A13" s="4" t="s">
        <v>212</v>
      </c>
      <c r="G13" s="61">
        <f>460</f>
        <v>460</v>
      </c>
      <c r="H13" s="61">
        <f>580</f>
        <v>580</v>
      </c>
      <c r="I13" s="61">
        <f>711</f>
        <v>711</v>
      </c>
      <c r="J13" s="61">
        <v>1152</v>
      </c>
      <c r="K13" s="37">
        <f>J13+K17</f>
        <v>1638.2586206896551</v>
      </c>
      <c r="L13" s="37">
        <f t="shared" ref="L13:N13" ca="1" si="2">K13+L17</f>
        <v>2096.382572374418</v>
      </c>
      <c r="M13" s="37">
        <f t="shared" ca="1" si="2"/>
        <v>2580.0100109704972</v>
      </c>
      <c r="N13" s="37">
        <f t="shared" ca="1" si="2"/>
        <v>3133.7153867409606</v>
      </c>
    </row>
    <row r="14" spans="1:19" ht="14.4" x14ac:dyDescent="0.3">
      <c r="A14" s="62" t="s">
        <v>215</v>
      </c>
      <c r="G14" s="64">
        <f>128526/100</f>
        <v>1285.26</v>
      </c>
      <c r="H14" s="65">
        <f>1216</f>
        <v>1216</v>
      </c>
      <c r="I14" s="65">
        <f>1218</f>
        <v>1218</v>
      </c>
      <c r="J14" s="65">
        <f>1343</f>
        <v>1343</v>
      </c>
      <c r="K14" s="43">
        <f ca="1">J14+K11-K17</f>
        <v>1265.2947237007743</v>
      </c>
      <c r="L14" s="43">
        <f t="shared" ref="L14:N14" ca="1" si="3">K14+L11-L17</f>
        <v>1335.7329256463138</v>
      </c>
      <c r="M14" s="43">
        <f t="shared" ca="1" si="3"/>
        <v>1529.2815140327086</v>
      </c>
      <c r="N14" s="43">
        <f t="shared" ca="1" si="3"/>
        <v>1836.3199417266178</v>
      </c>
    </row>
    <row r="15" spans="1:19" ht="14.4" x14ac:dyDescent="0.3">
      <c r="D15" s="9" t="s">
        <v>24</v>
      </c>
      <c r="E15" s="9" t="s">
        <v>25</v>
      </c>
      <c r="F15" s="9"/>
      <c r="K15" s="8"/>
      <c r="L15" s="8"/>
      <c r="M15" s="8"/>
      <c r="N15" s="8"/>
    </row>
    <row r="16" spans="1:19" x14ac:dyDescent="0.3">
      <c r="A16" s="63" t="s">
        <v>216</v>
      </c>
      <c r="D16" s="9"/>
      <c r="E16" s="9" t="s">
        <v>26</v>
      </c>
      <c r="F16" s="9"/>
      <c r="G16" s="66">
        <f>G11/G7</f>
        <v>5.4152807823085623E-3</v>
      </c>
      <c r="H16" s="66">
        <f t="shared" ref="H16:K16" si="4">H11/H7</f>
        <v>8.7784143411569031E-3</v>
      </c>
      <c r="I16" s="66">
        <f t="shared" si="4"/>
        <v>6.5974513003923749E-3</v>
      </c>
      <c r="J16" s="66">
        <f t="shared" si="4"/>
        <v>1.0646950092421443E-2</v>
      </c>
      <c r="K16" s="67">
        <f>MEDIAN(G16:J16)</f>
        <v>7.687932820774639E-3</v>
      </c>
      <c r="L16" s="67">
        <f>K16</f>
        <v>7.687932820774639E-3</v>
      </c>
      <c r="M16" s="67">
        <f>L16</f>
        <v>7.687932820774639E-3</v>
      </c>
      <c r="N16" s="67">
        <f>M16</f>
        <v>7.687932820774639E-3</v>
      </c>
    </row>
    <row r="17" spans="1:14" ht="14.4" x14ac:dyDescent="0.3">
      <c r="A17" s="4" t="s">
        <v>217</v>
      </c>
      <c r="D17" s="9"/>
      <c r="E17" s="9" t="s">
        <v>27</v>
      </c>
      <c r="F17" s="9"/>
      <c r="G17" s="29">
        <f>IS!G29</f>
        <v>347.96</v>
      </c>
      <c r="H17" s="29">
        <f>IS!H29</f>
        <v>375</v>
      </c>
      <c r="I17" s="29">
        <f>IS!I29</f>
        <v>399</v>
      </c>
      <c r="J17" s="29">
        <f>IS!J29</f>
        <v>441</v>
      </c>
      <c r="K17" s="37">
        <f>J14*K18</f>
        <v>486.25862068965517</v>
      </c>
      <c r="L17" s="37">
        <f t="shared" ref="L17:N17" ca="1" si="5">K14*L18</f>
        <v>458.12395168476309</v>
      </c>
      <c r="M17" s="37">
        <f t="shared" ca="1" si="5"/>
        <v>483.62743859607912</v>
      </c>
      <c r="N17" s="37">
        <f t="shared" ca="1" si="5"/>
        <v>553.70537577046343</v>
      </c>
    </row>
    <row r="18" spans="1:14" ht="14.4" x14ac:dyDescent="0.3">
      <c r="A18" s="4" t="s">
        <v>218</v>
      </c>
      <c r="H18" s="34">
        <f>H17/G14</f>
        <v>0.29176975864805565</v>
      </c>
      <c r="I18" s="34">
        <f t="shared" ref="I18:J18" si="6">I17/H14</f>
        <v>0.328125</v>
      </c>
      <c r="J18" s="34">
        <f t="shared" si="6"/>
        <v>0.36206896551724138</v>
      </c>
      <c r="K18" s="56">
        <f>J18</f>
        <v>0.36206896551724138</v>
      </c>
      <c r="L18" s="56">
        <f>J18</f>
        <v>0.36206896551724138</v>
      </c>
      <c r="M18" s="56">
        <f>K18</f>
        <v>0.36206896551724138</v>
      </c>
      <c r="N18" s="56">
        <f>K18</f>
        <v>0.36206896551724138</v>
      </c>
    </row>
    <row r="19" spans="1:14" ht="14.4" x14ac:dyDescent="0.3">
      <c r="K19" s="8"/>
      <c r="L19" s="8"/>
      <c r="M19" s="8"/>
      <c r="N19" s="8"/>
    </row>
    <row r="20" spans="1:14" ht="14.4" x14ac:dyDescent="0.3">
      <c r="K20" s="8"/>
      <c r="L20" s="8"/>
      <c r="M20" s="8"/>
      <c r="N20" s="8"/>
    </row>
    <row r="21" spans="1:14" ht="14.4" x14ac:dyDescent="0.3">
      <c r="K21" s="8"/>
      <c r="L21" s="8"/>
      <c r="M21" s="8"/>
      <c r="N21" s="8"/>
    </row>
    <row r="22" spans="1:14" ht="15.75" customHeight="1" x14ac:dyDescent="0.3">
      <c r="A22" s="4" t="s">
        <v>227</v>
      </c>
      <c r="G22" s="29">
        <f>'Balance Sheet'!G60</f>
        <v>1584.55</v>
      </c>
      <c r="H22" s="29">
        <f>'Balance Sheet'!H60</f>
        <v>4210</v>
      </c>
      <c r="I22" s="29">
        <f>'Balance Sheet'!I60</f>
        <v>5398</v>
      </c>
      <c r="J22" s="29">
        <f>'Balance Sheet'!J60</f>
        <v>5299</v>
      </c>
      <c r="K22" s="37">
        <f ca="1">K25*'Balance Sheet'!K27</f>
        <v>3041.2994704667999</v>
      </c>
      <c r="L22" s="37">
        <f ca="1">L25*'Balance Sheet'!L27</f>
        <v>3934.6533812936468</v>
      </c>
      <c r="M22" s="37">
        <f ca="1">M25*'Balance Sheet'!M27</f>
        <v>5040.9453760497827</v>
      </c>
      <c r="N22" s="37">
        <f ca="1">N25*'Balance Sheet'!N27</f>
        <v>6407.436653320171</v>
      </c>
    </row>
    <row r="23" spans="1:14" ht="15.75" customHeight="1" x14ac:dyDescent="0.3">
      <c r="A23" s="4" t="s">
        <v>228</v>
      </c>
      <c r="J23" s="34">
        <f>3%</f>
        <v>0.03</v>
      </c>
      <c r="K23" s="42">
        <f>J23</f>
        <v>0.03</v>
      </c>
      <c r="L23" s="42">
        <f>K23</f>
        <v>0.03</v>
      </c>
      <c r="M23" s="42">
        <f t="shared" ref="M23:N23" si="7">L23</f>
        <v>0.03</v>
      </c>
      <c r="N23" s="42">
        <f t="shared" si="7"/>
        <v>0.03</v>
      </c>
    </row>
    <row r="24" spans="1:14" ht="15.75" customHeight="1" x14ac:dyDescent="0.3">
      <c r="A24" s="4" t="s">
        <v>229</v>
      </c>
      <c r="J24" s="29">
        <f>J22*J23</f>
        <v>158.97</v>
      </c>
      <c r="K24" s="37">
        <f t="shared" ref="K24:N24" ca="1" si="8">K22*K23</f>
        <v>91.238984114003998</v>
      </c>
      <c r="L24" s="37">
        <f t="shared" ca="1" si="8"/>
        <v>118.0396014388094</v>
      </c>
      <c r="M24" s="37">
        <f t="shared" ca="1" si="8"/>
        <v>151.22836128149348</v>
      </c>
      <c r="N24" s="37">
        <f t="shared" ca="1" si="8"/>
        <v>192.22309959960512</v>
      </c>
    </row>
    <row r="25" spans="1:14" ht="15.75" customHeight="1" x14ac:dyDescent="0.3">
      <c r="A25" s="4" t="s">
        <v>230</v>
      </c>
      <c r="G25" s="34">
        <f>G22/'Balance Sheet'!G27</f>
        <v>0.19555151314701505</v>
      </c>
      <c r="H25" s="34">
        <f>H22/'Balance Sheet'!H27</f>
        <v>0.5007136060894386</v>
      </c>
      <c r="I25" s="34">
        <f>I22/'Balance Sheet'!I27</f>
        <v>0.39664927621426999</v>
      </c>
      <c r="J25" s="34">
        <f>J22/'Balance Sheet'!J27</f>
        <v>0.319524843222383</v>
      </c>
      <c r="K25" s="56">
        <f>MEDIAN(G25:J25)</f>
        <v>0.35808705971832649</v>
      </c>
      <c r="L25" s="56">
        <f>K25</f>
        <v>0.35808705971832649</v>
      </c>
      <c r="M25" s="56">
        <f t="shared" ref="M25:N25" si="9">L25</f>
        <v>0.35808705971832649</v>
      </c>
      <c r="N25" s="56">
        <f t="shared" si="9"/>
        <v>0.35808705971832649</v>
      </c>
    </row>
    <row r="26" spans="1:14" ht="15.75" customHeight="1" x14ac:dyDescent="0.3">
      <c r="K26" s="8"/>
      <c r="L26" s="8"/>
      <c r="M26" s="8"/>
      <c r="N26" s="8"/>
    </row>
    <row r="27" spans="1:14" ht="15.75" customHeight="1" x14ac:dyDescent="0.3">
      <c r="K27" s="8"/>
      <c r="L27" s="8"/>
      <c r="M27" s="8"/>
      <c r="N27" s="8"/>
    </row>
    <row r="28" spans="1:14" ht="15.75" customHeight="1" x14ac:dyDescent="0.3">
      <c r="K28" s="8"/>
      <c r="L28" s="8"/>
      <c r="M28" s="8"/>
      <c r="N28" s="8"/>
    </row>
    <row r="29" spans="1:14" ht="15.75" customHeight="1" x14ac:dyDescent="0.3">
      <c r="K29" s="8"/>
      <c r="L29" s="8"/>
      <c r="M29" s="8"/>
      <c r="N29" s="8"/>
    </row>
    <row r="30" spans="1:14" ht="15.75" customHeight="1" x14ac:dyDescent="0.3">
      <c r="K30" s="8"/>
      <c r="L30" s="8"/>
      <c r="M30" s="8"/>
      <c r="N30" s="8"/>
    </row>
    <row r="31" spans="1:14" ht="15.75" customHeight="1" x14ac:dyDescent="0.3">
      <c r="K31" s="8"/>
      <c r="L31" s="8"/>
      <c r="M31" s="8"/>
      <c r="N31" s="8"/>
    </row>
    <row r="32" spans="1:14" ht="15.75" customHeight="1" x14ac:dyDescent="0.3">
      <c r="K32" s="8"/>
      <c r="L32" s="8"/>
      <c r="M32" s="8"/>
      <c r="N32" s="8"/>
    </row>
    <row r="33" spans="11:14" ht="15.75" customHeight="1" x14ac:dyDescent="0.3">
      <c r="K33" s="8"/>
      <c r="L33" s="8"/>
      <c r="M33" s="8"/>
      <c r="N33" s="8"/>
    </row>
    <row r="34" spans="11:14" ht="15.75" customHeight="1" x14ac:dyDescent="0.3">
      <c r="K34" s="8"/>
      <c r="L34" s="8"/>
      <c r="M34" s="8"/>
      <c r="N34" s="8"/>
    </row>
    <row r="35" spans="11:14" ht="15.75" customHeight="1" x14ac:dyDescent="0.3">
      <c r="K35" s="8"/>
      <c r="L35" s="8"/>
      <c r="M35" s="8"/>
      <c r="N35" s="8"/>
    </row>
    <row r="36" spans="11:14" ht="15.75" customHeight="1" x14ac:dyDescent="0.3">
      <c r="K36" s="8"/>
      <c r="L36" s="8"/>
      <c r="M36" s="8"/>
      <c r="N36" s="8"/>
    </row>
    <row r="37" spans="11:14" ht="15.75" customHeight="1" x14ac:dyDescent="0.3">
      <c r="K37" s="8"/>
      <c r="L37" s="8"/>
      <c r="M37" s="8"/>
      <c r="N37" s="8"/>
    </row>
    <row r="38" spans="11:14" ht="15.75" customHeight="1" x14ac:dyDescent="0.3">
      <c r="K38" s="8"/>
      <c r="L38" s="8"/>
      <c r="M38" s="8"/>
      <c r="N38" s="8"/>
    </row>
    <row r="39" spans="11:14" ht="15.75" customHeight="1" x14ac:dyDescent="0.3">
      <c r="K39" s="8"/>
      <c r="L39" s="8"/>
      <c r="M39" s="8"/>
      <c r="N39" s="8"/>
    </row>
    <row r="40" spans="11:14" ht="15.75" customHeight="1" x14ac:dyDescent="0.3">
      <c r="K40" s="8"/>
      <c r="L40" s="8"/>
      <c r="M40" s="8"/>
      <c r="N40" s="8"/>
    </row>
    <row r="41" spans="11:14" ht="15.75" customHeight="1" x14ac:dyDescent="0.3">
      <c r="K41" s="8"/>
      <c r="L41" s="8"/>
      <c r="M41" s="8"/>
      <c r="N41" s="8"/>
    </row>
    <row r="42" spans="11:14" ht="15.75" customHeight="1" x14ac:dyDescent="0.3">
      <c r="K42" s="8"/>
      <c r="L42" s="8"/>
      <c r="M42" s="8"/>
      <c r="N42" s="8"/>
    </row>
    <row r="43" spans="11:14" ht="15.75" customHeight="1" x14ac:dyDescent="0.3">
      <c r="K43" s="8"/>
      <c r="L43" s="8"/>
      <c r="M43" s="8"/>
      <c r="N43" s="8"/>
    </row>
    <row r="44" spans="11:14" ht="15.75" customHeight="1" x14ac:dyDescent="0.3">
      <c r="K44" s="8"/>
      <c r="L44" s="8"/>
      <c r="M44" s="8"/>
      <c r="N44" s="8"/>
    </row>
    <row r="45" spans="11:14" ht="15.75" customHeight="1" x14ac:dyDescent="0.3">
      <c r="K45" s="8"/>
      <c r="L45" s="8"/>
      <c r="M45" s="8"/>
      <c r="N45" s="8"/>
    </row>
    <row r="46" spans="11:14" ht="15.75" customHeight="1" x14ac:dyDescent="0.3">
      <c r="K46" s="8"/>
      <c r="L46" s="8"/>
      <c r="M46" s="8"/>
      <c r="N46" s="8"/>
    </row>
    <row r="47" spans="11:14" ht="15.75" customHeight="1" x14ac:dyDescent="0.3">
      <c r="K47" s="8"/>
      <c r="L47" s="8"/>
      <c r="M47" s="8"/>
      <c r="N47" s="8"/>
    </row>
    <row r="48" spans="11:14" ht="15.75" customHeight="1" x14ac:dyDescent="0.3">
      <c r="K48" s="8"/>
      <c r="L48" s="8"/>
      <c r="M48" s="8"/>
      <c r="N48" s="8"/>
    </row>
    <row r="49" spans="11:14" ht="15.75" customHeight="1" x14ac:dyDescent="0.3">
      <c r="K49" s="8"/>
      <c r="L49" s="8"/>
      <c r="M49" s="8"/>
      <c r="N49" s="8"/>
    </row>
    <row r="50" spans="11:14" ht="15.75" customHeight="1" x14ac:dyDescent="0.3">
      <c r="K50" s="8"/>
      <c r="L50" s="8"/>
      <c r="M50" s="8"/>
      <c r="N50" s="8"/>
    </row>
    <row r="51" spans="11:14" ht="15.75" customHeight="1" x14ac:dyDescent="0.3">
      <c r="K51" s="8"/>
      <c r="L51" s="8"/>
      <c r="M51" s="8"/>
      <c r="N51" s="8"/>
    </row>
    <row r="52" spans="11:14" ht="15.75" customHeight="1" x14ac:dyDescent="0.3">
      <c r="K52" s="8"/>
      <c r="L52" s="8"/>
      <c r="M52" s="8"/>
      <c r="N52" s="8"/>
    </row>
    <row r="53" spans="11:14" ht="15.75" customHeight="1" x14ac:dyDescent="0.3">
      <c r="K53" s="8"/>
      <c r="L53" s="8"/>
      <c r="M53" s="8"/>
      <c r="N53" s="8"/>
    </row>
    <row r="54" spans="11:14" ht="15.75" customHeight="1" x14ac:dyDescent="0.3">
      <c r="K54" s="8"/>
      <c r="L54" s="8"/>
      <c r="M54" s="8"/>
      <c r="N54" s="8"/>
    </row>
    <row r="55" spans="11:14" ht="15.75" customHeight="1" x14ac:dyDescent="0.3">
      <c r="K55" s="8"/>
      <c r="L55" s="8"/>
      <c r="M55" s="8"/>
      <c r="N55" s="8"/>
    </row>
    <row r="56" spans="11:14" ht="15.75" customHeight="1" x14ac:dyDescent="0.3">
      <c r="K56" s="8"/>
      <c r="L56" s="8"/>
      <c r="M56" s="8"/>
      <c r="N56" s="8"/>
    </row>
    <row r="57" spans="11:14" ht="15.75" customHeight="1" x14ac:dyDescent="0.3">
      <c r="K57" s="8"/>
      <c r="L57" s="8"/>
      <c r="M57" s="8"/>
      <c r="N57" s="8"/>
    </row>
    <row r="58" spans="11:14" ht="15.75" customHeight="1" x14ac:dyDescent="0.3">
      <c r="K58" s="8"/>
      <c r="L58" s="8"/>
      <c r="M58" s="8"/>
      <c r="N58" s="8"/>
    </row>
    <row r="59" spans="11:14" ht="15.75" customHeight="1" x14ac:dyDescent="0.3">
      <c r="K59" s="8"/>
      <c r="L59" s="8"/>
      <c r="M59" s="8"/>
      <c r="N59" s="8"/>
    </row>
    <row r="60" spans="11:14" ht="15.75" customHeight="1" x14ac:dyDescent="0.3">
      <c r="K60" s="8"/>
      <c r="L60" s="8"/>
      <c r="M60" s="8"/>
      <c r="N60" s="8"/>
    </row>
    <row r="61" spans="11:14" ht="15.75" customHeight="1" x14ac:dyDescent="0.3">
      <c r="K61" s="8"/>
      <c r="L61" s="8"/>
      <c r="M61" s="8"/>
      <c r="N61" s="8"/>
    </row>
    <row r="62" spans="11:14" ht="15.75" customHeight="1" x14ac:dyDescent="0.3">
      <c r="K62" s="8"/>
      <c r="L62" s="8"/>
      <c r="M62" s="8"/>
      <c r="N62" s="8"/>
    </row>
    <row r="63" spans="11:14" ht="15.75" customHeight="1" x14ac:dyDescent="0.3">
      <c r="K63" s="8"/>
      <c r="L63" s="8"/>
      <c r="M63" s="8"/>
      <c r="N63" s="8"/>
    </row>
    <row r="64" spans="11:14" ht="15.75" customHeight="1" x14ac:dyDescent="0.3">
      <c r="K64" s="8"/>
      <c r="L64" s="8"/>
      <c r="M64" s="8"/>
      <c r="N64" s="8"/>
    </row>
    <row r="65" spans="11:14" ht="15.75" customHeight="1" x14ac:dyDescent="0.3">
      <c r="K65" s="8"/>
      <c r="L65" s="8"/>
      <c r="M65" s="8"/>
      <c r="N65" s="8"/>
    </row>
    <row r="66" spans="11:14" ht="15.75" customHeight="1" x14ac:dyDescent="0.3">
      <c r="K66" s="8"/>
      <c r="L66" s="8"/>
      <c r="M66" s="8"/>
      <c r="N66" s="8"/>
    </row>
    <row r="67" spans="11:14" ht="15.75" customHeight="1" x14ac:dyDescent="0.3">
      <c r="K67" s="8"/>
      <c r="L67" s="8"/>
      <c r="M67" s="8"/>
      <c r="N67" s="8"/>
    </row>
    <row r="68" spans="11:14" ht="15.75" customHeight="1" x14ac:dyDescent="0.3">
      <c r="K68" s="8"/>
      <c r="L68" s="8"/>
      <c r="M68" s="8"/>
      <c r="N68" s="8"/>
    </row>
    <row r="69" spans="11:14" ht="15.75" customHeight="1" x14ac:dyDescent="0.3">
      <c r="K69" s="8"/>
      <c r="L69" s="8"/>
      <c r="M69" s="8"/>
      <c r="N69" s="8"/>
    </row>
    <row r="70" spans="11:14" ht="15.75" customHeight="1" x14ac:dyDescent="0.3">
      <c r="K70" s="8"/>
      <c r="L70" s="8"/>
      <c r="M70" s="8"/>
      <c r="N70" s="8"/>
    </row>
    <row r="71" spans="11:14" ht="15.75" customHeight="1" x14ac:dyDescent="0.3">
      <c r="K71" s="8"/>
      <c r="L71" s="8"/>
      <c r="M71" s="8"/>
      <c r="N71" s="8"/>
    </row>
    <row r="72" spans="11:14" ht="15.75" customHeight="1" x14ac:dyDescent="0.3">
      <c r="K72" s="8"/>
      <c r="L72" s="8"/>
      <c r="M72" s="8"/>
      <c r="N72" s="8"/>
    </row>
    <row r="73" spans="11:14" ht="15.75" customHeight="1" x14ac:dyDescent="0.3">
      <c r="K73" s="8"/>
      <c r="L73" s="8"/>
      <c r="M73" s="8"/>
      <c r="N73" s="8"/>
    </row>
    <row r="74" spans="11:14" ht="15.75" customHeight="1" x14ac:dyDescent="0.3">
      <c r="K74" s="8"/>
      <c r="L74" s="8"/>
      <c r="M74" s="8"/>
      <c r="N74" s="8"/>
    </row>
    <row r="75" spans="11:14" ht="15.75" customHeight="1" x14ac:dyDescent="0.3">
      <c r="K75" s="8"/>
      <c r="L75" s="8"/>
      <c r="M75" s="8"/>
      <c r="N75" s="8"/>
    </row>
    <row r="76" spans="11:14" ht="15.75" customHeight="1" x14ac:dyDescent="0.3">
      <c r="K76" s="8"/>
      <c r="L76" s="8"/>
      <c r="M76" s="8"/>
      <c r="N76" s="8"/>
    </row>
    <row r="77" spans="11:14" ht="15.75" customHeight="1" x14ac:dyDescent="0.3">
      <c r="K77" s="8"/>
      <c r="L77" s="8"/>
      <c r="M77" s="8"/>
      <c r="N77" s="8"/>
    </row>
    <row r="78" spans="11:14" ht="15.75" customHeight="1" x14ac:dyDescent="0.3">
      <c r="K78" s="8"/>
      <c r="L78" s="8"/>
      <c r="M78" s="8"/>
      <c r="N78" s="8"/>
    </row>
    <row r="79" spans="11:14" ht="15.75" customHeight="1" x14ac:dyDescent="0.3">
      <c r="K79" s="8"/>
      <c r="L79" s="8"/>
      <c r="M79" s="8"/>
      <c r="N79" s="8"/>
    </row>
    <row r="80" spans="11:14" ht="15.75" customHeight="1" x14ac:dyDescent="0.3">
      <c r="K80" s="8"/>
      <c r="L80" s="8"/>
      <c r="M80" s="8"/>
      <c r="N80" s="8"/>
    </row>
    <row r="81" spans="11:14" ht="15.75" customHeight="1" x14ac:dyDescent="0.3">
      <c r="K81" s="8"/>
      <c r="L81" s="8"/>
      <c r="M81" s="8"/>
      <c r="N81" s="8"/>
    </row>
    <row r="82" spans="11:14" ht="15.75" customHeight="1" x14ac:dyDescent="0.3">
      <c r="K82" s="8"/>
      <c r="L82" s="8"/>
      <c r="M82" s="8"/>
      <c r="N82" s="8"/>
    </row>
    <row r="83" spans="11:14" ht="15.75" customHeight="1" x14ac:dyDescent="0.3">
      <c r="K83" s="8"/>
      <c r="L83" s="8"/>
      <c r="M83" s="8"/>
      <c r="N83" s="8"/>
    </row>
    <row r="84" spans="11:14" ht="15.75" customHeight="1" x14ac:dyDescent="0.3">
      <c r="K84" s="8"/>
      <c r="L84" s="8"/>
      <c r="M84" s="8"/>
      <c r="N84" s="8"/>
    </row>
    <row r="85" spans="11:14" ht="15.75" customHeight="1" x14ac:dyDescent="0.3">
      <c r="K85" s="8"/>
      <c r="L85" s="8"/>
      <c r="M85" s="8"/>
      <c r="N85" s="8"/>
    </row>
    <row r="86" spans="11:14" ht="15.75" customHeight="1" x14ac:dyDescent="0.3">
      <c r="K86" s="8"/>
      <c r="L86" s="8"/>
      <c r="M86" s="8"/>
      <c r="N86" s="8"/>
    </row>
    <row r="87" spans="11:14" ht="15.75" customHeight="1" x14ac:dyDescent="0.3">
      <c r="K87" s="8"/>
      <c r="L87" s="8"/>
      <c r="M87" s="8"/>
      <c r="N87" s="8"/>
    </row>
    <row r="88" spans="11:14" ht="15.75" customHeight="1" x14ac:dyDescent="0.3">
      <c r="K88" s="8"/>
      <c r="L88" s="8"/>
      <c r="M88" s="8"/>
      <c r="N88" s="8"/>
    </row>
    <row r="89" spans="11:14" ht="15.75" customHeight="1" x14ac:dyDescent="0.3">
      <c r="K89" s="8"/>
      <c r="L89" s="8"/>
      <c r="M89" s="8"/>
      <c r="N89" s="8"/>
    </row>
    <row r="90" spans="11:14" ht="15.75" customHeight="1" x14ac:dyDescent="0.3">
      <c r="K90" s="8"/>
      <c r="L90" s="8"/>
      <c r="M90" s="8"/>
      <c r="N90" s="8"/>
    </row>
    <row r="91" spans="11:14" ht="15.75" customHeight="1" x14ac:dyDescent="0.3">
      <c r="K91" s="8"/>
      <c r="L91" s="8"/>
      <c r="M91" s="8"/>
      <c r="N91" s="8"/>
    </row>
    <row r="92" spans="11:14" ht="15.75" customHeight="1" x14ac:dyDescent="0.3">
      <c r="K92" s="8"/>
      <c r="L92" s="8"/>
      <c r="M92" s="8"/>
      <c r="N92" s="8"/>
    </row>
    <row r="93" spans="11:14" ht="15.75" customHeight="1" x14ac:dyDescent="0.3">
      <c r="K93" s="8"/>
      <c r="L93" s="8"/>
      <c r="M93" s="8"/>
      <c r="N93" s="8"/>
    </row>
    <row r="94" spans="11:14" ht="15.75" customHeight="1" x14ac:dyDescent="0.3">
      <c r="K94" s="8"/>
      <c r="L94" s="8"/>
      <c r="M94" s="8"/>
      <c r="N94" s="8"/>
    </row>
    <row r="95" spans="11:14" ht="15.75" customHeight="1" x14ac:dyDescent="0.3">
      <c r="K95" s="8"/>
      <c r="L95" s="8"/>
      <c r="M95" s="8"/>
      <c r="N95" s="8"/>
    </row>
    <row r="96" spans="11:14" ht="15.75" customHeight="1" x14ac:dyDescent="0.3">
      <c r="K96" s="8"/>
      <c r="L96" s="8"/>
      <c r="M96" s="8"/>
      <c r="N96" s="8"/>
    </row>
    <row r="97" spans="11:14" ht="15.75" customHeight="1" x14ac:dyDescent="0.3">
      <c r="K97" s="8"/>
      <c r="L97" s="8"/>
      <c r="M97" s="8"/>
      <c r="N97" s="8"/>
    </row>
    <row r="98" spans="11:14" ht="15.75" customHeight="1" x14ac:dyDescent="0.3">
      <c r="K98" s="8"/>
      <c r="L98" s="8"/>
      <c r="M98" s="8"/>
      <c r="N98" s="8"/>
    </row>
    <row r="99" spans="11:14" ht="15.75" customHeight="1" x14ac:dyDescent="0.3">
      <c r="K99" s="8"/>
      <c r="L99" s="8"/>
      <c r="M99" s="8"/>
      <c r="N99" s="8"/>
    </row>
    <row r="100" spans="11:14" ht="15.75" customHeight="1" x14ac:dyDescent="0.3">
      <c r="K100" s="8"/>
      <c r="L100" s="8"/>
      <c r="M100" s="8"/>
      <c r="N100" s="8"/>
    </row>
    <row r="101" spans="11:14" ht="15.75" customHeight="1" x14ac:dyDescent="0.3">
      <c r="K101" s="8"/>
      <c r="L101" s="8"/>
      <c r="M101" s="8"/>
      <c r="N101" s="8"/>
    </row>
    <row r="102" spans="11:14" ht="15.75" customHeight="1" x14ac:dyDescent="0.3">
      <c r="K102" s="8"/>
      <c r="L102" s="8"/>
      <c r="M102" s="8"/>
      <c r="N102" s="8"/>
    </row>
    <row r="103" spans="11:14" ht="15.75" customHeight="1" x14ac:dyDescent="0.3">
      <c r="K103" s="8"/>
      <c r="L103" s="8"/>
      <c r="M103" s="8"/>
      <c r="N103" s="8"/>
    </row>
    <row r="104" spans="11:14" ht="15.75" customHeight="1" x14ac:dyDescent="0.3">
      <c r="K104" s="8"/>
      <c r="L104" s="8"/>
      <c r="M104" s="8"/>
      <c r="N104" s="8"/>
    </row>
    <row r="105" spans="11:14" ht="15.75" customHeight="1" x14ac:dyDescent="0.3">
      <c r="K105" s="8"/>
      <c r="L105" s="8"/>
      <c r="M105" s="8"/>
      <c r="N105" s="8"/>
    </row>
    <row r="106" spans="11:14" ht="15.75" customHeight="1" x14ac:dyDescent="0.3">
      <c r="K106" s="8"/>
      <c r="L106" s="8"/>
      <c r="M106" s="8"/>
      <c r="N106" s="8"/>
    </row>
    <row r="107" spans="11:14" ht="15.75" customHeight="1" x14ac:dyDescent="0.3">
      <c r="K107" s="8"/>
      <c r="L107" s="8"/>
      <c r="M107" s="8"/>
      <c r="N107" s="8"/>
    </row>
    <row r="108" spans="11:14" ht="15.75" customHeight="1" x14ac:dyDescent="0.3">
      <c r="K108" s="8"/>
      <c r="L108" s="8"/>
      <c r="M108" s="8"/>
      <c r="N108" s="8"/>
    </row>
    <row r="109" spans="11:14" ht="15.75" customHeight="1" x14ac:dyDescent="0.3">
      <c r="K109" s="8"/>
      <c r="L109" s="8"/>
      <c r="M109" s="8"/>
      <c r="N109" s="8"/>
    </row>
    <row r="110" spans="11:14" ht="15.75" customHeight="1" x14ac:dyDescent="0.3">
      <c r="K110" s="8"/>
      <c r="L110" s="8"/>
      <c r="M110" s="8"/>
      <c r="N110" s="8"/>
    </row>
    <row r="111" spans="11:14" ht="15.75" customHeight="1" x14ac:dyDescent="0.3">
      <c r="K111" s="8"/>
      <c r="L111" s="8"/>
      <c r="M111" s="8"/>
      <c r="N111" s="8"/>
    </row>
    <row r="112" spans="11:14" ht="15.75" customHeight="1" x14ac:dyDescent="0.3">
      <c r="K112" s="8"/>
      <c r="L112" s="8"/>
      <c r="M112" s="8"/>
      <c r="N112" s="8"/>
    </row>
    <row r="113" spans="11:14" ht="15.75" customHeight="1" x14ac:dyDescent="0.3">
      <c r="K113" s="8"/>
      <c r="L113" s="8"/>
      <c r="M113" s="8"/>
      <c r="N113" s="8"/>
    </row>
    <row r="114" spans="11:14" ht="15.75" customHeight="1" x14ac:dyDescent="0.3">
      <c r="K114" s="8"/>
      <c r="L114" s="8"/>
      <c r="M114" s="8"/>
      <c r="N114" s="8"/>
    </row>
    <row r="115" spans="11:14" ht="15.75" customHeight="1" x14ac:dyDescent="0.3">
      <c r="K115" s="8"/>
      <c r="L115" s="8"/>
      <c r="M115" s="8"/>
      <c r="N115" s="8"/>
    </row>
    <row r="116" spans="11:14" ht="15.75" customHeight="1" x14ac:dyDescent="0.3">
      <c r="K116" s="8"/>
      <c r="L116" s="8"/>
      <c r="M116" s="8"/>
      <c r="N116" s="8"/>
    </row>
    <row r="117" spans="11:14" ht="15.75" customHeight="1" x14ac:dyDescent="0.3">
      <c r="K117" s="8"/>
      <c r="L117" s="8"/>
      <c r="M117" s="8"/>
      <c r="N117" s="8"/>
    </row>
    <row r="118" spans="11:14" ht="15.75" customHeight="1" x14ac:dyDescent="0.3">
      <c r="K118" s="8"/>
      <c r="L118" s="8"/>
      <c r="M118" s="8"/>
      <c r="N118" s="8"/>
    </row>
    <row r="119" spans="11:14" ht="15.75" customHeight="1" x14ac:dyDescent="0.3">
      <c r="K119" s="8"/>
      <c r="L119" s="8"/>
      <c r="M119" s="8"/>
      <c r="N119" s="8"/>
    </row>
    <row r="120" spans="11:14" ht="15.75" customHeight="1" x14ac:dyDescent="0.3">
      <c r="K120" s="8"/>
      <c r="L120" s="8"/>
      <c r="M120" s="8"/>
      <c r="N120" s="8"/>
    </row>
    <row r="121" spans="11:14" ht="15.75" customHeight="1" x14ac:dyDescent="0.3">
      <c r="K121" s="8"/>
      <c r="L121" s="8"/>
      <c r="M121" s="8"/>
      <c r="N121" s="8"/>
    </row>
    <row r="122" spans="11:14" ht="15.75" customHeight="1" x14ac:dyDescent="0.3">
      <c r="K122" s="8"/>
      <c r="L122" s="8"/>
      <c r="M122" s="8"/>
      <c r="N122" s="8"/>
    </row>
    <row r="123" spans="11:14" ht="15.75" customHeight="1" x14ac:dyDescent="0.3">
      <c r="K123" s="8"/>
      <c r="L123" s="8"/>
      <c r="M123" s="8"/>
      <c r="N123" s="8"/>
    </row>
    <row r="124" spans="11:14" ht="15.75" customHeight="1" x14ac:dyDescent="0.3">
      <c r="K124" s="8"/>
      <c r="L124" s="8"/>
      <c r="M124" s="8"/>
      <c r="N124" s="8"/>
    </row>
    <row r="125" spans="11:14" ht="15.75" customHeight="1" x14ac:dyDescent="0.3">
      <c r="K125" s="8"/>
      <c r="L125" s="8"/>
      <c r="M125" s="8"/>
      <c r="N125" s="8"/>
    </row>
    <row r="126" spans="11:14" ht="15.75" customHeight="1" x14ac:dyDescent="0.3">
      <c r="K126" s="8"/>
      <c r="L126" s="8"/>
      <c r="M126" s="8"/>
      <c r="N126" s="8"/>
    </row>
    <row r="127" spans="11:14" ht="15.75" customHeight="1" x14ac:dyDescent="0.3">
      <c r="K127" s="8"/>
      <c r="L127" s="8"/>
      <c r="M127" s="8"/>
      <c r="N127" s="8"/>
    </row>
    <row r="128" spans="11:14" ht="15.75" customHeight="1" x14ac:dyDescent="0.3">
      <c r="K128" s="8"/>
      <c r="L128" s="8"/>
      <c r="M128" s="8"/>
      <c r="N128" s="8"/>
    </row>
    <row r="129" spans="11:14" ht="15.75" customHeight="1" x14ac:dyDescent="0.3">
      <c r="K129" s="8"/>
      <c r="L129" s="8"/>
      <c r="M129" s="8"/>
      <c r="N129" s="8"/>
    </row>
    <row r="130" spans="11:14" ht="15.75" customHeight="1" x14ac:dyDescent="0.3">
      <c r="K130" s="8"/>
      <c r="L130" s="8"/>
      <c r="M130" s="8"/>
      <c r="N130" s="8"/>
    </row>
    <row r="131" spans="11:14" ht="15.75" customHeight="1" x14ac:dyDescent="0.3">
      <c r="K131" s="8"/>
      <c r="L131" s="8"/>
      <c r="M131" s="8"/>
      <c r="N131" s="8"/>
    </row>
    <row r="132" spans="11:14" ht="15.75" customHeight="1" x14ac:dyDescent="0.3">
      <c r="K132" s="8"/>
      <c r="L132" s="8"/>
      <c r="M132" s="8"/>
      <c r="N132" s="8"/>
    </row>
    <row r="133" spans="11:14" ht="15.75" customHeight="1" x14ac:dyDescent="0.3">
      <c r="K133" s="8"/>
      <c r="L133" s="8"/>
      <c r="M133" s="8"/>
      <c r="N133" s="8"/>
    </row>
    <row r="134" spans="11:14" ht="15.75" customHeight="1" x14ac:dyDescent="0.3">
      <c r="K134" s="8"/>
      <c r="L134" s="8"/>
      <c r="M134" s="8"/>
      <c r="N134" s="8"/>
    </row>
    <row r="135" spans="11:14" ht="15.75" customHeight="1" x14ac:dyDescent="0.3">
      <c r="K135" s="8"/>
      <c r="L135" s="8"/>
      <c r="M135" s="8"/>
      <c r="N135" s="8"/>
    </row>
    <row r="136" spans="11:14" ht="15.75" customHeight="1" x14ac:dyDescent="0.3">
      <c r="K136" s="8"/>
      <c r="L136" s="8"/>
      <c r="M136" s="8"/>
      <c r="N136" s="8"/>
    </row>
    <row r="137" spans="11:14" ht="15.75" customHeight="1" x14ac:dyDescent="0.3">
      <c r="K137" s="8"/>
      <c r="L137" s="8"/>
      <c r="M137" s="8"/>
      <c r="N137" s="8"/>
    </row>
    <row r="138" spans="11:14" ht="15.75" customHeight="1" x14ac:dyDescent="0.3">
      <c r="K138" s="8"/>
      <c r="L138" s="8"/>
      <c r="M138" s="8"/>
      <c r="N138" s="8"/>
    </row>
    <row r="139" spans="11:14" ht="15.75" customHeight="1" x14ac:dyDescent="0.3">
      <c r="K139" s="8"/>
      <c r="L139" s="8"/>
      <c r="M139" s="8"/>
      <c r="N139" s="8"/>
    </row>
    <row r="140" spans="11:14" ht="15.75" customHeight="1" x14ac:dyDescent="0.3">
      <c r="K140" s="8"/>
      <c r="L140" s="8"/>
      <c r="M140" s="8"/>
      <c r="N140" s="8"/>
    </row>
    <row r="141" spans="11:14" ht="15.75" customHeight="1" x14ac:dyDescent="0.3">
      <c r="K141" s="8"/>
      <c r="L141" s="8"/>
      <c r="M141" s="8"/>
      <c r="N141" s="8"/>
    </row>
    <row r="142" spans="11:14" ht="15.75" customHeight="1" x14ac:dyDescent="0.3">
      <c r="K142" s="8"/>
      <c r="L142" s="8"/>
      <c r="M142" s="8"/>
      <c r="N142" s="8"/>
    </row>
    <row r="143" spans="11:14" ht="15.75" customHeight="1" x14ac:dyDescent="0.3">
      <c r="K143" s="8"/>
      <c r="L143" s="8"/>
      <c r="M143" s="8"/>
      <c r="N143" s="8"/>
    </row>
    <row r="144" spans="11:14" ht="15.75" customHeight="1" x14ac:dyDescent="0.3">
      <c r="K144" s="8"/>
      <c r="L144" s="8"/>
      <c r="M144" s="8"/>
      <c r="N144" s="8"/>
    </row>
    <row r="145" spans="11:14" ht="15.75" customHeight="1" x14ac:dyDescent="0.3">
      <c r="K145" s="8"/>
      <c r="L145" s="8"/>
      <c r="M145" s="8"/>
      <c r="N145" s="8"/>
    </row>
    <row r="146" spans="11:14" ht="15.75" customHeight="1" x14ac:dyDescent="0.3">
      <c r="K146" s="8"/>
      <c r="L146" s="8"/>
      <c r="M146" s="8"/>
      <c r="N146" s="8"/>
    </row>
    <row r="147" spans="11:14" ht="15.75" customHeight="1" x14ac:dyDescent="0.3">
      <c r="K147" s="8"/>
      <c r="L147" s="8"/>
      <c r="M147" s="8"/>
      <c r="N147" s="8"/>
    </row>
    <row r="148" spans="11:14" ht="15.75" customHeight="1" x14ac:dyDescent="0.3">
      <c r="K148" s="8"/>
      <c r="L148" s="8"/>
      <c r="M148" s="8"/>
      <c r="N148" s="8"/>
    </row>
    <row r="149" spans="11:14" ht="15.75" customHeight="1" x14ac:dyDescent="0.3">
      <c r="K149" s="8"/>
      <c r="L149" s="8"/>
      <c r="M149" s="8"/>
      <c r="N149" s="8"/>
    </row>
    <row r="150" spans="11:14" ht="15.75" customHeight="1" x14ac:dyDescent="0.3">
      <c r="K150" s="8"/>
      <c r="L150" s="8"/>
      <c r="M150" s="8"/>
      <c r="N150" s="8"/>
    </row>
    <row r="151" spans="11:14" ht="15.75" customHeight="1" x14ac:dyDescent="0.3">
      <c r="K151" s="8"/>
      <c r="L151" s="8"/>
      <c r="M151" s="8"/>
      <c r="N151" s="8"/>
    </row>
    <row r="152" spans="11:14" ht="15.75" customHeight="1" x14ac:dyDescent="0.3">
      <c r="K152" s="8"/>
      <c r="L152" s="8"/>
      <c r="M152" s="8"/>
      <c r="N152" s="8"/>
    </row>
    <row r="153" spans="11:14" ht="15.75" customHeight="1" x14ac:dyDescent="0.3">
      <c r="K153" s="8"/>
      <c r="L153" s="8"/>
      <c r="M153" s="8"/>
      <c r="N153" s="8"/>
    </row>
    <row r="154" spans="11:14" ht="15.75" customHeight="1" x14ac:dyDescent="0.3">
      <c r="K154" s="8"/>
      <c r="L154" s="8"/>
      <c r="M154" s="8"/>
      <c r="N154" s="8"/>
    </row>
    <row r="155" spans="11:14" ht="15.75" customHeight="1" x14ac:dyDescent="0.3">
      <c r="K155" s="8"/>
      <c r="L155" s="8"/>
      <c r="M155" s="8"/>
      <c r="N155" s="8"/>
    </row>
    <row r="156" spans="11:14" ht="15.75" customHeight="1" x14ac:dyDescent="0.3">
      <c r="K156" s="8"/>
      <c r="L156" s="8"/>
      <c r="M156" s="8"/>
      <c r="N156" s="8"/>
    </row>
    <row r="157" spans="11:14" ht="15.75" customHeight="1" x14ac:dyDescent="0.3">
      <c r="K157" s="8"/>
      <c r="L157" s="8"/>
      <c r="M157" s="8"/>
      <c r="N157" s="8"/>
    </row>
    <row r="158" spans="11:14" ht="15.75" customHeight="1" x14ac:dyDescent="0.3">
      <c r="K158" s="8"/>
      <c r="L158" s="8"/>
      <c r="M158" s="8"/>
      <c r="N158" s="8"/>
    </row>
    <row r="159" spans="11:14" ht="15.75" customHeight="1" x14ac:dyDescent="0.3">
      <c r="K159" s="8"/>
      <c r="L159" s="8"/>
      <c r="M159" s="8"/>
      <c r="N159" s="8"/>
    </row>
    <row r="160" spans="11:14" ht="15.75" customHeight="1" x14ac:dyDescent="0.3">
      <c r="K160" s="8"/>
      <c r="L160" s="8"/>
      <c r="M160" s="8"/>
      <c r="N160" s="8"/>
    </row>
    <row r="161" spans="11:14" ht="15.75" customHeight="1" x14ac:dyDescent="0.3">
      <c r="K161" s="8"/>
      <c r="L161" s="8"/>
      <c r="M161" s="8"/>
      <c r="N161" s="8"/>
    </row>
    <row r="162" spans="11:14" ht="15.75" customHeight="1" x14ac:dyDescent="0.3">
      <c r="K162" s="8"/>
      <c r="L162" s="8"/>
      <c r="M162" s="8"/>
      <c r="N162" s="8"/>
    </row>
    <row r="163" spans="11:14" ht="15.75" customHeight="1" x14ac:dyDescent="0.3">
      <c r="K163" s="8"/>
      <c r="L163" s="8"/>
      <c r="M163" s="8"/>
      <c r="N163" s="8"/>
    </row>
    <row r="164" spans="11:14" ht="15.75" customHeight="1" x14ac:dyDescent="0.3">
      <c r="K164" s="8"/>
      <c r="L164" s="8"/>
      <c r="M164" s="8"/>
      <c r="N164" s="8"/>
    </row>
    <row r="165" spans="11:14" ht="15.75" customHeight="1" x14ac:dyDescent="0.3">
      <c r="K165" s="8"/>
      <c r="L165" s="8"/>
      <c r="M165" s="8"/>
      <c r="N165" s="8"/>
    </row>
    <row r="166" spans="11:14" ht="15.75" customHeight="1" x14ac:dyDescent="0.3">
      <c r="K166" s="8"/>
      <c r="L166" s="8"/>
      <c r="M166" s="8"/>
      <c r="N166" s="8"/>
    </row>
    <row r="167" spans="11:14" ht="15.75" customHeight="1" x14ac:dyDescent="0.3">
      <c r="K167" s="8"/>
      <c r="L167" s="8"/>
      <c r="M167" s="8"/>
      <c r="N167" s="8"/>
    </row>
    <row r="168" spans="11:14" ht="15.75" customHeight="1" x14ac:dyDescent="0.3">
      <c r="K168" s="8"/>
      <c r="L168" s="8"/>
      <c r="M168" s="8"/>
      <c r="N168" s="8"/>
    </row>
    <row r="169" spans="11:14" ht="15.75" customHeight="1" x14ac:dyDescent="0.3">
      <c r="K169" s="8"/>
      <c r="L169" s="8"/>
      <c r="M169" s="8"/>
      <c r="N169" s="8"/>
    </row>
    <row r="170" spans="11:14" ht="15.75" customHeight="1" x14ac:dyDescent="0.3">
      <c r="K170" s="8"/>
      <c r="L170" s="8"/>
      <c r="M170" s="8"/>
      <c r="N170" s="8"/>
    </row>
    <row r="171" spans="11:14" ht="15.75" customHeight="1" x14ac:dyDescent="0.3">
      <c r="K171" s="8"/>
      <c r="L171" s="8"/>
      <c r="M171" s="8"/>
      <c r="N171" s="8"/>
    </row>
    <row r="172" spans="11:14" ht="15.75" customHeight="1" x14ac:dyDescent="0.3">
      <c r="K172" s="8"/>
      <c r="L172" s="8"/>
      <c r="M172" s="8"/>
      <c r="N172" s="8"/>
    </row>
    <row r="173" spans="11:14" ht="15.75" customHeight="1" x14ac:dyDescent="0.3">
      <c r="K173" s="8"/>
      <c r="L173" s="8"/>
      <c r="M173" s="8"/>
      <c r="N173" s="8"/>
    </row>
    <row r="174" spans="11:14" ht="15.75" customHeight="1" x14ac:dyDescent="0.3">
      <c r="K174" s="8"/>
      <c r="L174" s="8"/>
      <c r="M174" s="8"/>
      <c r="N174" s="8"/>
    </row>
    <row r="175" spans="11:14" ht="15.75" customHeight="1" x14ac:dyDescent="0.3">
      <c r="K175" s="8"/>
      <c r="L175" s="8"/>
      <c r="M175" s="8"/>
      <c r="N175" s="8"/>
    </row>
    <row r="176" spans="11:14" ht="15.75" customHeight="1" x14ac:dyDescent="0.3">
      <c r="K176" s="8"/>
      <c r="L176" s="8"/>
      <c r="M176" s="8"/>
      <c r="N176" s="8"/>
    </row>
    <row r="177" spans="11:14" ht="15.75" customHeight="1" x14ac:dyDescent="0.3">
      <c r="K177" s="8"/>
      <c r="L177" s="8"/>
      <c r="M177" s="8"/>
      <c r="N177" s="8"/>
    </row>
    <row r="178" spans="11:14" ht="15.75" customHeight="1" x14ac:dyDescent="0.3">
      <c r="K178" s="8"/>
      <c r="L178" s="8"/>
      <c r="M178" s="8"/>
      <c r="N178" s="8"/>
    </row>
    <row r="179" spans="11:14" ht="15.75" customHeight="1" x14ac:dyDescent="0.3">
      <c r="K179" s="8"/>
      <c r="L179" s="8"/>
      <c r="M179" s="8"/>
      <c r="N179" s="8"/>
    </row>
    <row r="180" spans="11:14" ht="15.75" customHeight="1" x14ac:dyDescent="0.3">
      <c r="K180" s="8"/>
      <c r="L180" s="8"/>
      <c r="M180" s="8"/>
      <c r="N180" s="8"/>
    </row>
    <row r="181" spans="11:14" ht="15.75" customHeight="1" x14ac:dyDescent="0.3">
      <c r="K181" s="8"/>
      <c r="L181" s="8"/>
      <c r="M181" s="8"/>
      <c r="N181" s="8"/>
    </row>
    <row r="182" spans="11:14" ht="15.75" customHeight="1" x14ac:dyDescent="0.3">
      <c r="K182" s="8"/>
      <c r="L182" s="8"/>
      <c r="M182" s="8"/>
      <c r="N182" s="8"/>
    </row>
    <row r="183" spans="11:14" ht="15.75" customHeight="1" x14ac:dyDescent="0.3">
      <c r="K183" s="8"/>
      <c r="L183" s="8"/>
      <c r="M183" s="8"/>
      <c r="N183" s="8"/>
    </row>
    <row r="184" spans="11:14" ht="15.75" customHeight="1" x14ac:dyDescent="0.3">
      <c r="K184" s="8"/>
      <c r="L184" s="8"/>
      <c r="M184" s="8"/>
      <c r="N184" s="8"/>
    </row>
    <row r="185" spans="11:14" ht="15.75" customHeight="1" x14ac:dyDescent="0.3">
      <c r="K185" s="8"/>
      <c r="L185" s="8"/>
      <c r="M185" s="8"/>
      <c r="N185" s="8"/>
    </row>
    <row r="186" spans="11:14" ht="15.75" customHeight="1" x14ac:dyDescent="0.3">
      <c r="K186" s="8"/>
      <c r="L186" s="8"/>
      <c r="M186" s="8"/>
      <c r="N186" s="8"/>
    </row>
    <row r="187" spans="11:14" ht="15.75" customHeight="1" x14ac:dyDescent="0.3">
      <c r="K187" s="8"/>
      <c r="L187" s="8"/>
      <c r="M187" s="8"/>
      <c r="N187" s="8"/>
    </row>
    <row r="188" spans="11:14" ht="15.75" customHeight="1" x14ac:dyDescent="0.3">
      <c r="K188" s="8"/>
      <c r="L188" s="8"/>
      <c r="M188" s="8"/>
      <c r="N188" s="8"/>
    </row>
    <row r="189" spans="11:14" ht="15.75" customHeight="1" x14ac:dyDescent="0.3">
      <c r="K189" s="8"/>
      <c r="L189" s="8"/>
      <c r="M189" s="8"/>
      <c r="N189" s="8"/>
    </row>
    <row r="190" spans="11:14" ht="15.75" customHeight="1" x14ac:dyDescent="0.3">
      <c r="K190" s="8"/>
      <c r="L190" s="8"/>
      <c r="M190" s="8"/>
      <c r="N190" s="8"/>
    </row>
    <row r="191" spans="11:14" ht="15.75" customHeight="1" x14ac:dyDescent="0.3">
      <c r="K191" s="8"/>
      <c r="L191" s="8"/>
      <c r="M191" s="8"/>
      <c r="N191" s="8"/>
    </row>
    <row r="192" spans="11:14" ht="15.75" customHeight="1" x14ac:dyDescent="0.3">
      <c r="K192" s="8"/>
      <c r="L192" s="8"/>
      <c r="M192" s="8"/>
      <c r="N192" s="8"/>
    </row>
    <row r="193" spans="11:14" ht="15.75" customHeight="1" x14ac:dyDescent="0.3">
      <c r="K193" s="8"/>
      <c r="L193" s="8"/>
      <c r="M193" s="8"/>
      <c r="N193" s="8"/>
    </row>
    <row r="194" spans="11:14" ht="15.75" customHeight="1" x14ac:dyDescent="0.3">
      <c r="K194" s="8"/>
      <c r="L194" s="8"/>
      <c r="M194" s="8"/>
      <c r="N194" s="8"/>
    </row>
    <row r="195" spans="11:14" ht="15.75" customHeight="1" x14ac:dyDescent="0.3">
      <c r="K195" s="8"/>
      <c r="L195" s="8"/>
      <c r="M195" s="8"/>
      <c r="N195" s="8"/>
    </row>
    <row r="196" spans="11:14" ht="15.75" customHeight="1" x14ac:dyDescent="0.3">
      <c r="K196" s="8"/>
      <c r="L196" s="8"/>
      <c r="M196" s="8"/>
      <c r="N196" s="8"/>
    </row>
    <row r="197" spans="11:14" ht="15.75" customHeight="1" x14ac:dyDescent="0.3">
      <c r="K197" s="8"/>
      <c r="L197" s="8"/>
      <c r="M197" s="8"/>
      <c r="N197" s="8"/>
    </row>
    <row r="198" spans="11:14" ht="15.75" customHeight="1" x14ac:dyDescent="0.3">
      <c r="K198" s="8"/>
      <c r="L198" s="8"/>
      <c r="M198" s="8"/>
      <c r="N198" s="8"/>
    </row>
    <row r="199" spans="11:14" ht="15.75" customHeight="1" x14ac:dyDescent="0.3">
      <c r="K199" s="8"/>
      <c r="L199" s="8"/>
      <c r="M199" s="8"/>
      <c r="N199" s="8"/>
    </row>
    <row r="200" spans="11:14" ht="15.75" customHeight="1" x14ac:dyDescent="0.3">
      <c r="K200" s="8"/>
      <c r="L200" s="8"/>
      <c r="M200" s="8"/>
      <c r="N200" s="8"/>
    </row>
    <row r="201" spans="11:14" ht="15.75" customHeight="1" x14ac:dyDescent="0.3">
      <c r="K201" s="8"/>
      <c r="L201" s="8"/>
      <c r="M201" s="8"/>
      <c r="N201" s="8"/>
    </row>
    <row r="202" spans="11:14" ht="15.75" customHeight="1" x14ac:dyDescent="0.3">
      <c r="K202" s="8"/>
      <c r="L202" s="8"/>
      <c r="M202" s="8"/>
      <c r="N202" s="8"/>
    </row>
    <row r="203" spans="11:14" ht="15.75" customHeight="1" x14ac:dyDescent="0.3">
      <c r="K203" s="8"/>
      <c r="L203" s="8"/>
      <c r="M203" s="8"/>
      <c r="N203" s="8"/>
    </row>
    <row r="204" spans="11:14" ht="15.75" customHeight="1" x14ac:dyDescent="0.3">
      <c r="K204" s="8"/>
      <c r="L204" s="8"/>
      <c r="M204" s="8"/>
      <c r="N204" s="8"/>
    </row>
    <row r="205" spans="11:14" ht="15.75" customHeight="1" x14ac:dyDescent="0.3">
      <c r="K205" s="8"/>
      <c r="L205" s="8"/>
      <c r="M205" s="8"/>
      <c r="N205" s="8"/>
    </row>
    <row r="206" spans="11:14" ht="15.75" customHeight="1" x14ac:dyDescent="0.3">
      <c r="K206" s="8"/>
      <c r="L206" s="8"/>
      <c r="M206" s="8"/>
      <c r="N206" s="8"/>
    </row>
    <row r="207" spans="11:14" ht="15.75" customHeight="1" x14ac:dyDescent="0.3">
      <c r="K207" s="8"/>
      <c r="L207" s="8"/>
      <c r="M207" s="8"/>
      <c r="N207" s="8"/>
    </row>
    <row r="208" spans="11:14" ht="15.75" customHeight="1" x14ac:dyDescent="0.3">
      <c r="K208" s="8"/>
      <c r="L208" s="8"/>
      <c r="M208" s="8"/>
      <c r="N208" s="8"/>
    </row>
    <row r="209" spans="11:14" ht="15.75" customHeight="1" x14ac:dyDescent="0.3">
      <c r="K209" s="8"/>
      <c r="L209" s="8"/>
      <c r="M209" s="8"/>
      <c r="N209" s="8"/>
    </row>
    <row r="210" spans="11:14" ht="15.75" customHeight="1" x14ac:dyDescent="0.3">
      <c r="K210" s="8"/>
      <c r="L210" s="8"/>
      <c r="M210" s="8"/>
      <c r="N210" s="8"/>
    </row>
    <row r="211" spans="11:14" ht="15.75" customHeight="1" x14ac:dyDescent="0.3">
      <c r="K211" s="8"/>
      <c r="L211" s="8"/>
      <c r="M211" s="8"/>
      <c r="N211" s="8"/>
    </row>
    <row r="212" spans="11:14" ht="15.75" customHeight="1" x14ac:dyDescent="0.3">
      <c r="K212" s="8"/>
      <c r="L212" s="8"/>
      <c r="M212" s="8"/>
      <c r="N212" s="8"/>
    </row>
    <row r="213" spans="11:14" ht="15.75" customHeight="1" x14ac:dyDescent="0.3">
      <c r="K213" s="8"/>
      <c r="L213" s="8"/>
      <c r="M213" s="8"/>
      <c r="N213" s="8"/>
    </row>
    <row r="214" spans="11:14" ht="15.75" customHeight="1" x14ac:dyDescent="0.3">
      <c r="K214" s="8"/>
      <c r="L214" s="8"/>
      <c r="M214" s="8"/>
      <c r="N214" s="8"/>
    </row>
    <row r="215" spans="11:14" ht="15.75" customHeight="1" x14ac:dyDescent="0.3">
      <c r="K215" s="8"/>
      <c r="L215" s="8"/>
      <c r="M215" s="8"/>
      <c r="N215" s="8"/>
    </row>
    <row r="216" spans="11:14" ht="15.75" customHeight="1" x14ac:dyDescent="0.3">
      <c r="K216" s="8"/>
      <c r="L216" s="8"/>
      <c r="M216" s="8"/>
      <c r="N216" s="8"/>
    </row>
    <row r="217" spans="11:14" ht="15.75" customHeight="1" x14ac:dyDescent="0.3">
      <c r="K217" s="8"/>
      <c r="L217" s="8"/>
      <c r="M217" s="8"/>
      <c r="N217" s="8"/>
    </row>
    <row r="218" spans="11:14" ht="15.75" customHeight="1" x14ac:dyDescent="0.3">
      <c r="K218" s="8"/>
      <c r="L218" s="8"/>
      <c r="M218" s="8"/>
      <c r="N218" s="8"/>
    </row>
    <row r="219" spans="11:14" ht="15.75" customHeight="1" x14ac:dyDescent="0.3">
      <c r="K219" s="8"/>
      <c r="L219" s="8"/>
      <c r="M219" s="8"/>
      <c r="N219" s="8"/>
    </row>
    <row r="220" spans="11:14" ht="15.75" customHeight="1" x14ac:dyDescent="0.3">
      <c r="K220" s="8"/>
      <c r="L220" s="8"/>
      <c r="M220" s="8"/>
      <c r="N220" s="8"/>
    </row>
    <row r="221" spans="11:14" ht="15.75" customHeight="1" x14ac:dyDescent="0.3">
      <c r="K221" s="8"/>
      <c r="L221" s="8"/>
      <c r="M221" s="8"/>
      <c r="N221" s="8"/>
    </row>
    <row r="222" spans="11:14" ht="15.75" customHeight="1" x14ac:dyDescent="0.3">
      <c r="K222" s="8"/>
      <c r="L222" s="8"/>
      <c r="M222" s="8"/>
      <c r="N222" s="8"/>
    </row>
    <row r="223" spans="11:14" ht="15.75" customHeight="1" x14ac:dyDescent="0.3">
      <c r="K223" s="8"/>
      <c r="L223" s="8"/>
      <c r="M223" s="8"/>
      <c r="N223" s="8"/>
    </row>
    <row r="224" spans="11:14" ht="15.75" customHeight="1" x14ac:dyDescent="0.3">
      <c r="K224" s="8"/>
      <c r="L224" s="8"/>
      <c r="M224" s="8"/>
      <c r="N224" s="8"/>
    </row>
    <row r="225" spans="11:14" ht="15.75" customHeight="1" x14ac:dyDescent="0.3">
      <c r="K225" s="8"/>
      <c r="L225" s="8"/>
      <c r="M225" s="8"/>
      <c r="N225" s="8"/>
    </row>
    <row r="226" spans="11:14" ht="15.75" customHeight="1" x14ac:dyDescent="0.3">
      <c r="K226" s="8"/>
      <c r="L226" s="8"/>
      <c r="M226" s="8"/>
      <c r="N226" s="8"/>
    </row>
    <row r="227" spans="11:14" ht="15.75" customHeight="1" x14ac:dyDescent="0.3">
      <c r="K227" s="8"/>
      <c r="L227" s="8"/>
      <c r="M227" s="8"/>
      <c r="N227" s="8"/>
    </row>
    <row r="228" spans="11:14" ht="15.75" customHeight="1" x14ac:dyDescent="0.3">
      <c r="K228" s="8"/>
      <c r="L228" s="8"/>
      <c r="M228" s="8"/>
      <c r="N228" s="8"/>
    </row>
    <row r="229" spans="11:14" ht="15.75" customHeight="1" x14ac:dyDescent="0.3">
      <c r="K229" s="8"/>
      <c r="L229" s="8"/>
      <c r="M229" s="8"/>
      <c r="N229" s="8"/>
    </row>
    <row r="230" spans="11:14" ht="15.75" customHeight="1" x14ac:dyDescent="0.3">
      <c r="K230" s="8"/>
      <c r="L230" s="8"/>
      <c r="M230" s="8"/>
      <c r="N230" s="8"/>
    </row>
    <row r="231" spans="11:14" ht="15.75" customHeight="1" x14ac:dyDescent="0.3">
      <c r="K231" s="8"/>
      <c r="L231" s="8"/>
      <c r="M231" s="8"/>
      <c r="N231" s="8"/>
    </row>
    <row r="232" spans="11:14" ht="15.75" customHeight="1" x14ac:dyDescent="0.3">
      <c r="K232" s="8"/>
      <c r="L232" s="8"/>
      <c r="M232" s="8"/>
      <c r="N232" s="8"/>
    </row>
    <row r="233" spans="11:14" ht="15.75" customHeight="1" x14ac:dyDescent="0.3">
      <c r="K233" s="8"/>
      <c r="L233" s="8"/>
      <c r="M233" s="8"/>
      <c r="N233" s="8"/>
    </row>
    <row r="234" spans="11:14" ht="15.75" customHeight="1" x14ac:dyDescent="0.3">
      <c r="K234" s="8"/>
      <c r="L234" s="8"/>
      <c r="M234" s="8"/>
      <c r="N234" s="8"/>
    </row>
    <row r="235" spans="11:14" ht="15.75" customHeight="1" x14ac:dyDescent="0.3">
      <c r="K235" s="8"/>
      <c r="L235" s="8"/>
      <c r="M235" s="8"/>
      <c r="N235" s="8"/>
    </row>
    <row r="236" spans="11:14" ht="15.75" customHeight="1" x14ac:dyDescent="0.3">
      <c r="K236" s="8"/>
      <c r="L236" s="8"/>
      <c r="M236" s="8"/>
      <c r="N236" s="8"/>
    </row>
    <row r="237" spans="11:14" ht="15.75" customHeight="1" x14ac:dyDescent="0.3">
      <c r="K237" s="8"/>
      <c r="L237" s="8"/>
      <c r="M237" s="8"/>
      <c r="N237" s="8"/>
    </row>
    <row r="238" spans="11:14" ht="15.75" customHeight="1" x14ac:dyDescent="0.3">
      <c r="K238" s="8"/>
      <c r="L238" s="8"/>
      <c r="M238" s="8"/>
      <c r="N238" s="8"/>
    </row>
    <row r="239" spans="11:14" ht="15.75" customHeight="1" x14ac:dyDescent="0.3">
      <c r="K239" s="8"/>
      <c r="L239" s="8"/>
      <c r="M239" s="8"/>
      <c r="N239" s="8"/>
    </row>
    <row r="240" spans="11:14" ht="15.75" customHeight="1" x14ac:dyDescent="0.3">
      <c r="K240" s="8"/>
      <c r="L240" s="8"/>
      <c r="M240" s="8"/>
      <c r="N240" s="8"/>
    </row>
    <row r="241" spans="11:14" ht="15.75" customHeight="1" x14ac:dyDescent="0.3">
      <c r="K241" s="8"/>
      <c r="L241" s="8"/>
      <c r="M241" s="8"/>
      <c r="N241" s="8"/>
    </row>
    <row r="242" spans="11:14" ht="15.75" customHeight="1" x14ac:dyDescent="0.3">
      <c r="K242" s="8"/>
      <c r="L242" s="8"/>
      <c r="M242" s="8"/>
      <c r="N242" s="8"/>
    </row>
    <row r="243" spans="11:14" ht="15.75" customHeight="1" x14ac:dyDescent="0.3">
      <c r="K243" s="8"/>
      <c r="L243" s="8"/>
      <c r="M243" s="8"/>
      <c r="N243" s="8"/>
    </row>
    <row r="244" spans="11:14" ht="15.75" customHeight="1" x14ac:dyDescent="0.3">
      <c r="K244" s="8"/>
      <c r="L244" s="8"/>
      <c r="M244" s="8"/>
      <c r="N244" s="8"/>
    </row>
    <row r="245" spans="11:14" ht="15.75" customHeight="1" x14ac:dyDescent="0.3">
      <c r="K245" s="8"/>
      <c r="L245" s="8"/>
      <c r="M245" s="8"/>
      <c r="N245" s="8"/>
    </row>
    <row r="246" spans="11:14" ht="15.75" customHeight="1" x14ac:dyDescent="0.3">
      <c r="K246" s="8"/>
      <c r="L246" s="8"/>
      <c r="M246" s="8"/>
      <c r="N246" s="8"/>
    </row>
    <row r="247" spans="11:14" ht="15.75" customHeight="1" x14ac:dyDescent="0.3">
      <c r="K247" s="8"/>
      <c r="L247" s="8"/>
      <c r="M247" s="8"/>
      <c r="N247" s="8"/>
    </row>
    <row r="248" spans="11:14" ht="15.75" customHeight="1" x14ac:dyDescent="0.3">
      <c r="K248" s="8"/>
      <c r="L248" s="8"/>
      <c r="M248" s="8"/>
      <c r="N248" s="8"/>
    </row>
    <row r="249" spans="11:14" ht="15.75" customHeight="1" x14ac:dyDescent="0.3">
      <c r="K249" s="8"/>
      <c r="L249" s="8"/>
      <c r="M249" s="8"/>
      <c r="N249" s="8"/>
    </row>
    <row r="250" spans="11:14" ht="15.75" customHeight="1" x14ac:dyDescent="0.3">
      <c r="K250" s="8"/>
      <c r="L250" s="8"/>
      <c r="M250" s="8"/>
      <c r="N250" s="8"/>
    </row>
    <row r="251" spans="11:14" ht="15.75" customHeight="1" x14ac:dyDescent="0.3">
      <c r="K251" s="8"/>
      <c r="L251" s="8"/>
      <c r="M251" s="8"/>
      <c r="N251" s="8"/>
    </row>
    <row r="252" spans="11:14" ht="15.75" customHeight="1" x14ac:dyDescent="0.3">
      <c r="K252" s="8"/>
      <c r="L252" s="8"/>
      <c r="M252" s="8"/>
      <c r="N252" s="8"/>
    </row>
    <row r="253" spans="11:14" ht="15.75" customHeight="1" x14ac:dyDescent="0.3">
      <c r="K253" s="8"/>
      <c r="L253" s="8"/>
      <c r="M253" s="8"/>
      <c r="N253" s="8"/>
    </row>
    <row r="254" spans="11:14" ht="15.75" customHeight="1" x14ac:dyDescent="0.3">
      <c r="K254" s="8"/>
      <c r="L254" s="8"/>
      <c r="M254" s="8"/>
      <c r="N254" s="8"/>
    </row>
    <row r="255" spans="11:14" ht="15.75" customHeight="1" x14ac:dyDescent="0.3">
      <c r="K255" s="8"/>
      <c r="L255" s="8"/>
      <c r="M255" s="8"/>
      <c r="N255" s="8"/>
    </row>
    <row r="256" spans="11:14" ht="15.75" customHeight="1" x14ac:dyDescent="0.3">
      <c r="K256" s="8"/>
      <c r="L256" s="8"/>
      <c r="M256" s="8"/>
      <c r="N256" s="8"/>
    </row>
    <row r="257" spans="11:14" ht="15.75" customHeight="1" x14ac:dyDescent="0.3">
      <c r="K257" s="8"/>
      <c r="L257" s="8"/>
      <c r="M257" s="8"/>
      <c r="N257" s="8"/>
    </row>
    <row r="258" spans="11:14" ht="15.75" customHeight="1" x14ac:dyDescent="0.3">
      <c r="K258" s="8"/>
      <c r="L258" s="8"/>
      <c r="M258" s="8"/>
      <c r="N258" s="8"/>
    </row>
    <row r="259" spans="11:14" ht="15.75" customHeight="1" x14ac:dyDescent="0.3">
      <c r="K259" s="8"/>
      <c r="L259" s="8"/>
      <c r="M259" s="8"/>
      <c r="N259" s="8"/>
    </row>
    <row r="260" spans="11:14" ht="15.75" customHeight="1" x14ac:dyDescent="0.3">
      <c r="K260" s="8"/>
      <c r="L260" s="8"/>
      <c r="M260" s="8"/>
      <c r="N260" s="8"/>
    </row>
    <row r="261" spans="11:14" ht="15.75" customHeight="1" x14ac:dyDescent="0.3">
      <c r="K261" s="8"/>
      <c r="L261" s="8"/>
      <c r="M261" s="8"/>
      <c r="N261" s="8"/>
    </row>
    <row r="262" spans="11:14" ht="15.75" customHeight="1" x14ac:dyDescent="0.3">
      <c r="K262" s="8"/>
      <c r="L262" s="8"/>
      <c r="M262" s="8"/>
      <c r="N262" s="8"/>
    </row>
    <row r="263" spans="11:14" ht="15.75" customHeight="1" x14ac:dyDescent="0.3">
      <c r="K263" s="8"/>
      <c r="L263" s="8"/>
      <c r="M263" s="8"/>
      <c r="N263" s="8"/>
    </row>
    <row r="264" spans="11:14" ht="15.75" customHeight="1" x14ac:dyDescent="0.3">
      <c r="K264" s="8"/>
      <c r="L264" s="8"/>
      <c r="M264" s="8"/>
      <c r="N264" s="8"/>
    </row>
    <row r="265" spans="11:14" ht="15.75" customHeight="1" x14ac:dyDescent="0.3">
      <c r="K265" s="8"/>
      <c r="L265" s="8"/>
      <c r="M265" s="8"/>
      <c r="N265" s="8"/>
    </row>
    <row r="266" spans="11:14" ht="15.75" customHeight="1" x14ac:dyDescent="0.3">
      <c r="K266" s="8"/>
      <c r="L266" s="8"/>
      <c r="M266" s="8"/>
      <c r="N266" s="8"/>
    </row>
    <row r="267" spans="11:14" ht="15.75" customHeight="1" x14ac:dyDescent="0.3">
      <c r="K267" s="8"/>
      <c r="L267" s="8"/>
      <c r="M267" s="8"/>
      <c r="N267" s="8"/>
    </row>
    <row r="268" spans="11:14" ht="15.75" customHeight="1" x14ac:dyDescent="0.3">
      <c r="K268" s="8"/>
      <c r="L268" s="8"/>
      <c r="M268" s="8"/>
      <c r="N268" s="8"/>
    </row>
    <row r="269" spans="11:14" ht="15.75" customHeight="1" x14ac:dyDescent="0.3">
      <c r="K269" s="8"/>
      <c r="L269" s="8"/>
      <c r="M269" s="8"/>
      <c r="N269" s="8"/>
    </row>
    <row r="270" spans="11:14" ht="15.75" customHeight="1" x14ac:dyDescent="0.3">
      <c r="K270" s="8"/>
      <c r="L270" s="8"/>
      <c r="M270" s="8"/>
      <c r="N270" s="8"/>
    </row>
    <row r="271" spans="11:14" ht="15.75" customHeight="1" x14ac:dyDescent="0.3">
      <c r="K271" s="8"/>
      <c r="L271" s="8"/>
      <c r="M271" s="8"/>
      <c r="N271" s="8"/>
    </row>
    <row r="272" spans="11:14" ht="15.75" customHeight="1" x14ac:dyDescent="0.3">
      <c r="K272" s="8"/>
      <c r="L272" s="8"/>
      <c r="M272" s="8"/>
      <c r="N272" s="8"/>
    </row>
    <row r="273" spans="11:14" ht="15.75" customHeight="1" x14ac:dyDescent="0.3">
      <c r="K273" s="8"/>
      <c r="L273" s="8"/>
      <c r="M273" s="8"/>
      <c r="N273" s="8"/>
    </row>
    <row r="274" spans="11:14" ht="15.75" customHeight="1" x14ac:dyDescent="0.3">
      <c r="K274" s="8"/>
      <c r="L274" s="8"/>
      <c r="M274" s="8"/>
      <c r="N274" s="8"/>
    </row>
    <row r="275" spans="11:14" ht="15.75" customHeight="1" x14ac:dyDescent="0.3">
      <c r="K275" s="8"/>
      <c r="L275" s="8"/>
      <c r="M275" s="8"/>
      <c r="N275" s="8"/>
    </row>
    <row r="276" spans="11:14" ht="15.75" customHeight="1" x14ac:dyDescent="0.3">
      <c r="K276" s="8"/>
      <c r="L276" s="8"/>
      <c r="M276" s="8"/>
      <c r="N276" s="8"/>
    </row>
    <row r="277" spans="11:14" ht="15.75" customHeight="1" x14ac:dyDescent="0.3">
      <c r="K277" s="8"/>
      <c r="L277" s="8"/>
      <c r="M277" s="8"/>
      <c r="N277" s="8"/>
    </row>
    <row r="278" spans="11:14" ht="15.75" customHeight="1" x14ac:dyDescent="0.3">
      <c r="K278" s="8"/>
      <c r="L278" s="8"/>
      <c r="M278" s="8"/>
      <c r="N278" s="8"/>
    </row>
    <row r="279" spans="11:14" ht="15.75" customHeight="1" x14ac:dyDescent="0.3">
      <c r="K279" s="8"/>
      <c r="L279" s="8"/>
      <c r="M279" s="8"/>
      <c r="N279" s="8"/>
    </row>
    <row r="280" spans="11:14" ht="15.75" customHeight="1" x14ac:dyDescent="0.3">
      <c r="K280" s="8"/>
      <c r="L280" s="8"/>
      <c r="M280" s="8"/>
      <c r="N280" s="8"/>
    </row>
    <row r="281" spans="11:14" ht="15.75" customHeight="1" x14ac:dyDescent="0.3">
      <c r="K281" s="8"/>
      <c r="L281" s="8"/>
      <c r="M281" s="8"/>
      <c r="N281" s="8"/>
    </row>
    <row r="282" spans="11:14" ht="15.75" customHeight="1" x14ac:dyDescent="0.3">
      <c r="K282" s="8"/>
      <c r="L282" s="8"/>
      <c r="M282" s="8"/>
      <c r="N282" s="8"/>
    </row>
    <row r="283" spans="11:14" ht="15.75" customHeight="1" x14ac:dyDescent="0.3">
      <c r="K283" s="8"/>
      <c r="L283" s="8"/>
      <c r="M283" s="8"/>
      <c r="N283" s="8"/>
    </row>
    <row r="284" spans="11:14" ht="15.75" customHeight="1" x14ac:dyDescent="0.3">
      <c r="K284" s="8"/>
      <c r="L284" s="8"/>
      <c r="M284" s="8"/>
      <c r="N284" s="8"/>
    </row>
    <row r="285" spans="11:14" ht="15.75" customHeight="1" x14ac:dyDescent="0.3">
      <c r="K285" s="8"/>
      <c r="L285" s="8"/>
      <c r="M285" s="8"/>
      <c r="N285" s="8"/>
    </row>
    <row r="286" spans="11:14" ht="15.75" customHeight="1" x14ac:dyDescent="0.3">
      <c r="K286" s="8"/>
      <c r="L286" s="8"/>
      <c r="M286" s="8"/>
      <c r="N286" s="8"/>
    </row>
    <row r="287" spans="11:14" ht="15.75" customHeight="1" x14ac:dyDescent="0.3">
      <c r="K287" s="8"/>
      <c r="L287" s="8"/>
      <c r="M287" s="8"/>
      <c r="N287" s="8"/>
    </row>
    <row r="288" spans="11:14" ht="15.75" customHeight="1" x14ac:dyDescent="0.3">
      <c r="K288" s="8"/>
      <c r="L288" s="8"/>
      <c r="M288" s="8"/>
      <c r="N288" s="8"/>
    </row>
    <row r="289" spans="11:14" ht="15.75" customHeight="1" x14ac:dyDescent="0.3">
      <c r="K289" s="8"/>
      <c r="L289" s="8"/>
      <c r="M289" s="8"/>
      <c r="N289" s="8"/>
    </row>
    <row r="290" spans="11:14" ht="15.75" customHeight="1" x14ac:dyDescent="0.3">
      <c r="K290" s="8"/>
      <c r="L290" s="8"/>
      <c r="M290" s="8"/>
      <c r="N290" s="8"/>
    </row>
    <row r="291" spans="11:14" ht="15.75" customHeight="1" x14ac:dyDescent="0.3">
      <c r="K291" s="8"/>
      <c r="L291" s="8"/>
      <c r="M291" s="8"/>
      <c r="N291" s="8"/>
    </row>
    <row r="292" spans="11:14" ht="15.75" customHeight="1" x14ac:dyDescent="0.3">
      <c r="K292" s="8"/>
      <c r="L292" s="8"/>
      <c r="M292" s="8"/>
      <c r="N292" s="8"/>
    </row>
    <row r="293" spans="11:14" ht="15.75" customHeight="1" x14ac:dyDescent="0.3">
      <c r="K293" s="8"/>
      <c r="L293" s="8"/>
      <c r="M293" s="8"/>
      <c r="N293" s="8"/>
    </row>
    <row r="294" spans="11:14" ht="15.75" customHeight="1" x14ac:dyDescent="0.3">
      <c r="K294" s="8"/>
      <c r="L294" s="8"/>
      <c r="M294" s="8"/>
      <c r="N294" s="8"/>
    </row>
    <row r="295" spans="11:14" ht="15.75" customHeight="1" x14ac:dyDescent="0.3">
      <c r="K295" s="8"/>
      <c r="L295" s="8"/>
      <c r="M295" s="8"/>
      <c r="N295" s="8"/>
    </row>
    <row r="296" spans="11:14" ht="15.75" customHeight="1" x14ac:dyDescent="0.3">
      <c r="K296" s="8"/>
      <c r="L296" s="8"/>
      <c r="M296" s="8"/>
      <c r="N296" s="8"/>
    </row>
    <row r="297" spans="11:14" ht="15.75" customHeight="1" x14ac:dyDescent="0.3">
      <c r="K297" s="8"/>
      <c r="L297" s="8"/>
      <c r="M297" s="8"/>
      <c r="N297" s="8"/>
    </row>
    <row r="298" spans="11:14" ht="15.75" customHeight="1" x14ac:dyDescent="0.3">
      <c r="K298" s="8"/>
      <c r="L298" s="8"/>
      <c r="M298" s="8"/>
      <c r="N298" s="8"/>
    </row>
    <row r="299" spans="11:14" ht="15.75" customHeight="1" x14ac:dyDescent="0.3">
      <c r="K299" s="8"/>
      <c r="L299" s="8"/>
      <c r="M299" s="8"/>
      <c r="N299" s="8"/>
    </row>
    <row r="300" spans="11:14" ht="15.75" customHeight="1" x14ac:dyDescent="0.3">
      <c r="K300" s="8"/>
      <c r="L300" s="8"/>
      <c r="M300" s="8"/>
      <c r="N300" s="8"/>
    </row>
    <row r="301" spans="11:14" ht="15.75" customHeight="1" x14ac:dyDescent="0.3">
      <c r="K301" s="8"/>
      <c r="L301" s="8"/>
      <c r="M301" s="8"/>
      <c r="N301" s="8"/>
    </row>
    <row r="302" spans="11:14" ht="15.75" customHeight="1" x14ac:dyDescent="0.3">
      <c r="K302" s="8"/>
      <c r="L302" s="8"/>
      <c r="M302" s="8"/>
      <c r="N302" s="8"/>
    </row>
    <row r="303" spans="11:14" ht="15.75" customHeight="1" x14ac:dyDescent="0.3">
      <c r="K303" s="8"/>
      <c r="L303" s="8"/>
      <c r="M303" s="8"/>
      <c r="N303" s="8"/>
    </row>
    <row r="304" spans="11:14" ht="15.75" customHeight="1" x14ac:dyDescent="0.3">
      <c r="K304" s="8"/>
      <c r="L304" s="8"/>
      <c r="M304" s="8"/>
      <c r="N304" s="8"/>
    </row>
    <row r="305" spans="11:14" ht="15.75" customHeight="1" x14ac:dyDescent="0.3">
      <c r="K305" s="8"/>
      <c r="L305" s="8"/>
      <c r="M305" s="8"/>
      <c r="N305" s="8"/>
    </row>
    <row r="306" spans="11:14" ht="15.75" customHeight="1" x14ac:dyDescent="0.3">
      <c r="K306" s="8"/>
      <c r="L306" s="8"/>
      <c r="M306" s="8"/>
      <c r="N306" s="8"/>
    </row>
    <row r="307" spans="11:14" ht="15.75" customHeight="1" x14ac:dyDescent="0.3">
      <c r="K307" s="8"/>
      <c r="L307" s="8"/>
      <c r="M307" s="8"/>
      <c r="N307" s="8"/>
    </row>
    <row r="308" spans="11:14" ht="15.75" customHeight="1" x14ac:dyDescent="0.3">
      <c r="K308" s="8"/>
      <c r="L308" s="8"/>
      <c r="M308" s="8"/>
      <c r="N308" s="8"/>
    </row>
    <row r="309" spans="11:14" ht="15.75" customHeight="1" x14ac:dyDescent="0.3">
      <c r="K309" s="8"/>
      <c r="L309" s="8"/>
      <c r="M309" s="8"/>
      <c r="N309" s="8"/>
    </row>
    <row r="310" spans="11:14" ht="15.75" customHeight="1" x14ac:dyDescent="0.3">
      <c r="K310" s="8"/>
      <c r="L310" s="8"/>
      <c r="M310" s="8"/>
      <c r="N310" s="8"/>
    </row>
    <row r="311" spans="11:14" ht="15.75" customHeight="1" x14ac:dyDescent="0.3">
      <c r="K311" s="8"/>
      <c r="L311" s="8"/>
      <c r="M311" s="8"/>
      <c r="N311" s="8"/>
    </row>
    <row r="312" spans="11:14" ht="15.75" customHeight="1" x14ac:dyDescent="0.3">
      <c r="K312" s="8"/>
      <c r="L312" s="8"/>
      <c r="M312" s="8"/>
      <c r="N312" s="8"/>
    </row>
    <row r="313" spans="11:14" ht="15.75" customHeight="1" x14ac:dyDescent="0.3">
      <c r="K313" s="8"/>
      <c r="L313" s="8"/>
      <c r="M313" s="8"/>
      <c r="N313" s="8"/>
    </row>
    <row r="314" spans="11:14" ht="15.75" customHeight="1" x14ac:dyDescent="0.3">
      <c r="K314" s="8"/>
      <c r="L314" s="8"/>
      <c r="M314" s="8"/>
      <c r="N314" s="8"/>
    </row>
    <row r="315" spans="11:14" ht="15.75" customHeight="1" x14ac:dyDescent="0.3">
      <c r="K315" s="8"/>
      <c r="L315" s="8"/>
      <c r="M315" s="8"/>
      <c r="N315" s="8"/>
    </row>
    <row r="316" spans="11:14" ht="15.75" customHeight="1" x14ac:dyDescent="0.3">
      <c r="K316" s="8"/>
      <c r="L316" s="8"/>
      <c r="M316" s="8"/>
      <c r="N316" s="8"/>
    </row>
    <row r="317" spans="11:14" ht="15.75" customHeight="1" x14ac:dyDescent="0.3">
      <c r="K317" s="8"/>
      <c r="L317" s="8"/>
      <c r="M317" s="8"/>
      <c r="N317" s="8"/>
    </row>
    <row r="318" spans="11:14" ht="15.75" customHeight="1" x14ac:dyDescent="0.3">
      <c r="K318" s="8"/>
      <c r="L318" s="8"/>
      <c r="M318" s="8"/>
      <c r="N318" s="8"/>
    </row>
    <row r="319" spans="11:14" ht="15.75" customHeight="1" x14ac:dyDescent="0.3">
      <c r="K319" s="8"/>
      <c r="L319" s="8"/>
      <c r="M319" s="8"/>
      <c r="N319" s="8"/>
    </row>
    <row r="320" spans="11:14" ht="15.75" customHeight="1" x14ac:dyDescent="0.3">
      <c r="K320" s="8"/>
      <c r="L320" s="8"/>
      <c r="M320" s="8"/>
      <c r="N320" s="8"/>
    </row>
    <row r="321" spans="11:14" ht="15.75" customHeight="1" x14ac:dyDescent="0.3">
      <c r="K321" s="8"/>
      <c r="L321" s="8"/>
      <c r="M321" s="8"/>
      <c r="N321" s="8"/>
    </row>
    <row r="322" spans="11:14" ht="15.75" customHeight="1" x14ac:dyDescent="0.3">
      <c r="K322" s="8"/>
      <c r="L322" s="8"/>
      <c r="M322" s="8"/>
      <c r="N322" s="8"/>
    </row>
    <row r="323" spans="11:14" ht="15.75" customHeight="1" x14ac:dyDescent="0.3">
      <c r="K323" s="8"/>
      <c r="L323" s="8"/>
      <c r="M323" s="8"/>
      <c r="N323" s="8"/>
    </row>
    <row r="324" spans="11:14" ht="15.75" customHeight="1" x14ac:dyDescent="0.3">
      <c r="K324" s="8"/>
      <c r="L324" s="8"/>
      <c r="M324" s="8"/>
      <c r="N324" s="8"/>
    </row>
    <row r="325" spans="11:14" ht="15.75" customHeight="1" x14ac:dyDescent="0.3">
      <c r="K325" s="8"/>
      <c r="L325" s="8"/>
      <c r="M325" s="8"/>
      <c r="N325" s="8"/>
    </row>
    <row r="326" spans="11:14" ht="15.75" customHeight="1" x14ac:dyDescent="0.3">
      <c r="K326" s="8"/>
      <c r="L326" s="8"/>
      <c r="M326" s="8"/>
      <c r="N326" s="8"/>
    </row>
    <row r="327" spans="11:14" ht="15.75" customHeight="1" x14ac:dyDescent="0.3">
      <c r="K327" s="8"/>
      <c r="L327" s="8"/>
      <c r="M327" s="8"/>
      <c r="N327" s="8"/>
    </row>
    <row r="328" spans="11:14" ht="15.75" customHeight="1" x14ac:dyDescent="0.3">
      <c r="K328" s="8"/>
      <c r="L328" s="8"/>
      <c r="M328" s="8"/>
      <c r="N328" s="8"/>
    </row>
    <row r="329" spans="11:14" ht="15.75" customHeight="1" x14ac:dyDescent="0.3">
      <c r="K329" s="8"/>
      <c r="L329" s="8"/>
      <c r="M329" s="8"/>
      <c r="N329" s="8"/>
    </row>
    <row r="330" spans="11:14" ht="15.75" customHeight="1" x14ac:dyDescent="0.3">
      <c r="K330" s="8"/>
      <c r="L330" s="8"/>
      <c r="M330" s="8"/>
      <c r="N330" s="8"/>
    </row>
    <row r="331" spans="11:14" ht="15.75" customHeight="1" x14ac:dyDescent="0.3">
      <c r="K331" s="8"/>
      <c r="L331" s="8"/>
      <c r="M331" s="8"/>
      <c r="N331" s="8"/>
    </row>
    <row r="332" spans="11:14" ht="15.75" customHeight="1" x14ac:dyDescent="0.3">
      <c r="K332" s="8"/>
      <c r="L332" s="8"/>
      <c r="M332" s="8"/>
      <c r="N332" s="8"/>
    </row>
    <row r="333" spans="11:14" ht="15.75" customHeight="1" x14ac:dyDescent="0.3">
      <c r="K333" s="8"/>
      <c r="L333" s="8"/>
      <c r="M333" s="8"/>
      <c r="N333" s="8"/>
    </row>
    <row r="334" spans="11:14" ht="15.75" customHeight="1" x14ac:dyDescent="0.3">
      <c r="K334" s="8"/>
      <c r="L334" s="8"/>
      <c r="M334" s="8"/>
      <c r="N334" s="8"/>
    </row>
    <row r="335" spans="11:14" ht="15.75" customHeight="1" x14ac:dyDescent="0.3">
      <c r="K335" s="8"/>
      <c r="L335" s="8"/>
      <c r="M335" s="8"/>
      <c r="N335" s="8"/>
    </row>
    <row r="336" spans="11:14" ht="15.75" customHeight="1" x14ac:dyDescent="0.3">
      <c r="K336" s="8"/>
      <c r="L336" s="8"/>
      <c r="M336" s="8"/>
      <c r="N336" s="8"/>
    </row>
    <row r="337" spans="11:14" ht="15.75" customHeight="1" x14ac:dyDescent="0.3">
      <c r="K337" s="8"/>
      <c r="L337" s="8"/>
      <c r="M337" s="8"/>
      <c r="N337" s="8"/>
    </row>
    <row r="338" spans="11:14" ht="15.75" customHeight="1" x14ac:dyDescent="0.3">
      <c r="K338" s="8"/>
      <c r="L338" s="8"/>
      <c r="M338" s="8"/>
      <c r="N338" s="8"/>
    </row>
    <row r="339" spans="11:14" ht="15.75" customHeight="1" x14ac:dyDescent="0.3">
      <c r="K339" s="8"/>
      <c r="L339" s="8"/>
      <c r="M339" s="8"/>
      <c r="N339" s="8"/>
    </row>
    <row r="340" spans="11:14" ht="15.75" customHeight="1" x14ac:dyDescent="0.3">
      <c r="K340" s="8"/>
      <c r="L340" s="8"/>
      <c r="M340" s="8"/>
      <c r="N340" s="8"/>
    </row>
    <row r="341" spans="11:14" ht="15.75" customHeight="1" x14ac:dyDescent="0.3">
      <c r="K341" s="8"/>
      <c r="L341" s="8"/>
      <c r="M341" s="8"/>
      <c r="N341" s="8"/>
    </row>
    <row r="342" spans="11:14" ht="15.75" customHeight="1" x14ac:dyDescent="0.3">
      <c r="K342" s="8"/>
      <c r="L342" s="8"/>
      <c r="M342" s="8"/>
      <c r="N342" s="8"/>
    </row>
    <row r="343" spans="11:14" ht="15.75" customHeight="1" x14ac:dyDescent="0.3">
      <c r="K343" s="8"/>
      <c r="L343" s="8"/>
      <c r="M343" s="8"/>
      <c r="N343" s="8"/>
    </row>
    <row r="344" spans="11:14" ht="15.75" customHeight="1" x14ac:dyDescent="0.3">
      <c r="K344" s="8"/>
      <c r="L344" s="8"/>
      <c r="M344" s="8"/>
      <c r="N344" s="8"/>
    </row>
    <row r="345" spans="11:14" ht="15.75" customHeight="1" x14ac:dyDescent="0.3">
      <c r="K345" s="8"/>
      <c r="L345" s="8"/>
      <c r="M345" s="8"/>
      <c r="N345" s="8"/>
    </row>
    <row r="346" spans="11:14" ht="15.75" customHeight="1" x14ac:dyDescent="0.3">
      <c r="K346" s="8"/>
      <c r="L346" s="8"/>
      <c r="M346" s="8"/>
      <c r="N346" s="8"/>
    </row>
    <row r="347" spans="11:14" ht="15.75" customHeight="1" x14ac:dyDescent="0.3">
      <c r="K347" s="8"/>
      <c r="L347" s="8"/>
      <c r="M347" s="8"/>
      <c r="N347" s="8"/>
    </row>
    <row r="348" spans="11:14" ht="15.75" customHeight="1" x14ac:dyDescent="0.3">
      <c r="K348" s="8"/>
      <c r="L348" s="8"/>
      <c r="M348" s="8"/>
      <c r="N348" s="8"/>
    </row>
    <row r="349" spans="11:14" ht="15.75" customHeight="1" x14ac:dyDescent="0.3">
      <c r="K349" s="8"/>
      <c r="L349" s="8"/>
      <c r="M349" s="8"/>
      <c r="N349" s="8"/>
    </row>
    <row r="350" spans="11:14" ht="15.75" customHeight="1" x14ac:dyDescent="0.3">
      <c r="K350" s="8"/>
      <c r="L350" s="8"/>
      <c r="M350" s="8"/>
      <c r="N350" s="8"/>
    </row>
    <row r="351" spans="11:14" ht="15.75" customHeight="1" x14ac:dyDescent="0.3">
      <c r="K351" s="8"/>
      <c r="L351" s="8"/>
      <c r="M351" s="8"/>
      <c r="N351" s="8"/>
    </row>
    <row r="352" spans="11:14" ht="15.75" customHeight="1" x14ac:dyDescent="0.3">
      <c r="K352" s="8"/>
      <c r="L352" s="8"/>
      <c r="M352" s="8"/>
      <c r="N352" s="8"/>
    </row>
    <row r="353" spans="11:14" ht="15.75" customHeight="1" x14ac:dyDescent="0.3">
      <c r="K353" s="8"/>
      <c r="L353" s="8"/>
      <c r="M353" s="8"/>
      <c r="N353" s="8"/>
    </row>
    <row r="354" spans="11:14" ht="15.75" customHeight="1" x14ac:dyDescent="0.3">
      <c r="K354" s="8"/>
      <c r="L354" s="8"/>
      <c r="M354" s="8"/>
      <c r="N354" s="8"/>
    </row>
    <row r="355" spans="11:14" ht="15.75" customHeight="1" x14ac:dyDescent="0.3">
      <c r="K355" s="8"/>
      <c r="L355" s="8"/>
      <c r="M355" s="8"/>
      <c r="N355" s="8"/>
    </row>
    <row r="356" spans="11:14" ht="15.75" customHeight="1" x14ac:dyDescent="0.3">
      <c r="K356" s="8"/>
      <c r="L356" s="8"/>
      <c r="M356" s="8"/>
      <c r="N356" s="8"/>
    </row>
    <row r="357" spans="11:14" ht="15.75" customHeight="1" x14ac:dyDescent="0.3">
      <c r="K357" s="8"/>
      <c r="L357" s="8"/>
      <c r="M357" s="8"/>
      <c r="N357" s="8"/>
    </row>
    <row r="358" spans="11:14" ht="15.75" customHeight="1" x14ac:dyDescent="0.3">
      <c r="K358" s="8"/>
      <c r="L358" s="8"/>
      <c r="M358" s="8"/>
      <c r="N358" s="8"/>
    </row>
    <row r="359" spans="11:14" ht="15.75" customHeight="1" x14ac:dyDescent="0.3">
      <c r="K359" s="8"/>
      <c r="L359" s="8"/>
      <c r="M359" s="8"/>
      <c r="N359" s="8"/>
    </row>
    <row r="360" spans="11:14" ht="15.75" customHeight="1" x14ac:dyDescent="0.3">
      <c r="K360" s="8"/>
      <c r="L360" s="8"/>
      <c r="M360" s="8"/>
      <c r="N360" s="8"/>
    </row>
    <row r="361" spans="11:14" ht="15.75" customHeight="1" x14ac:dyDescent="0.3">
      <c r="K361" s="8"/>
      <c r="L361" s="8"/>
      <c r="M361" s="8"/>
      <c r="N361" s="8"/>
    </row>
    <row r="362" spans="11:14" ht="15.75" customHeight="1" x14ac:dyDescent="0.3">
      <c r="K362" s="8"/>
      <c r="L362" s="8"/>
      <c r="M362" s="8"/>
      <c r="N362" s="8"/>
    </row>
    <row r="363" spans="11:14" ht="15.75" customHeight="1" x14ac:dyDescent="0.3">
      <c r="K363" s="8"/>
      <c r="L363" s="8"/>
      <c r="M363" s="8"/>
      <c r="N363" s="8"/>
    </row>
    <row r="364" spans="11:14" ht="15.75" customHeight="1" x14ac:dyDescent="0.3">
      <c r="K364" s="8"/>
      <c r="L364" s="8"/>
      <c r="M364" s="8"/>
      <c r="N364" s="8"/>
    </row>
    <row r="365" spans="11:14" ht="15.75" customHeight="1" x14ac:dyDescent="0.3">
      <c r="K365" s="8"/>
      <c r="L365" s="8"/>
      <c r="M365" s="8"/>
      <c r="N365" s="8"/>
    </row>
    <row r="366" spans="11:14" ht="15.75" customHeight="1" x14ac:dyDescent="0.3">
      <c r="K366" s="8"/>
      <c r="L366" s="8"/>
      <c r="M366" s="8"/>
      <c r="N366" s="8"/>
    </row>
    <row r="367" spans="11:14" ht="15.75" customHeight="1" x14ac:dyDescent="0.3">
      <c r="K367" s="8"/>
      <c r="L367" s="8"/>
      <c r="M367" s="8"/>
      <c r="N367" s="8"/>
    </row>
    <row r="368" spans="11:14" ht="15.75" customHeight="1" x14ac:dyDescent="0.3">
      <c r="K368" s="8"/>
      <c r="L368" s="8"/>
      <c r="M368" s="8"/>
      <c r="N368" s="8"/>
    </row>
    <row r="369" spans="11:14" ht="15.75" customHeight="1" x14ac:dyDescent="0.3">
      <c r="K369" s="8"/>
      <c r="L369" s="8"/>
      <c r="M369" s="8"/>
      <c r="N369" s="8"/>
    </row>
    <row r="370" spans="11:14" ht="15.75" customHeight="1" x14ac:dyDescent="0.3">
      <c r="K370" s="8"/>
      <c r="L370" s="8"/>
      <c r="M370" s="8"/>
      <c r="N370" s="8"/>
    </row>
    <row r="371" spans="11:14" ht="15.75" customHeight="1" x14ac:dyDescent="0.3">
      <c r="K371" s="8"/>
      <c r="L371" s="8"/>
      <c r="M371" s="8"/>
      <c r="N371" s="8"/>
    </row>
    <row r="372" spans="11:14" ht="15.75" customHeight="1" x14ac:dyDescent="0.3">
      <c r="K372" s="8"/>
      <c r="L372" s="8"/>
      <c r="M372" s="8"/>
      <c r="N372" s="8"/>
    </row>
    <row r="373" spans="11:14" ht="15.75" customHeight="1" x14ac:dyDescent="0.3">
      <c r="K373" s="8"/>
      <c r="L373" s="8"/>
      <c r="M373" s="8"/>
      <c r="N373" s="8"/>
    </row>
    <row r="374" spans="11:14" ht="15.75" customHeight="1" x14ac:dyDescent="0.3">
      <c r="K374" s="8"/>
      <c r="L374" s="8"/>
      <c r="M374" s="8"/>
      <c r="N374" s="8"/>
    </row>
    <row r="375" spans="11:14" ht="15.75" customHeight="1" x14ac:dyDescent="0.3">
      <c r="K375" s="8"/>
      <c r="L375" s="8"/>
      <c r="M375" s="8"/>
      <c r="N375" s="8"/>
    </row>
    <row r="376" spans="11:14" ht="15.75" customHeight="1" x14ac:dyDescent="0.3">
      <c r="K376" s="8"/>
      <c r="L376" s="8"/>
      <c r="M376" s="8"/>
      <c r="N376" s="8"/>
    </row>
    <row r="377" spans="11:14" ht="15.75" customHeight="1" x14ac:dyDescent="0.3">
      <c r="K377" s="8"/>
      <c r="L377" s="8"/>
      <c r="M377" s="8"/>
      <c r="N377" s="8"/>
    </row>
    <row r="378" spans="11:14" ht="15.75" customHeight="1" x14ac:dyDescent="0.3">
      <c r="K378" s="8"/>
      <c r="L378" s="8"/>
      <c r="M378" s="8"/>
      <c r="N378" s="8"/>
    </row>
    <row r="379" spans="11:14" ht="15.75" customHeight="1" x14ac:dyDescent="0.3">
      <c r="K379" s="8"/>
      <c r="L379" s="8"/>
      <c r="M379" s="8"/>
      <c r="N379" s="8"/>
    </row>
    <row r="380" spans="11:14" ht="15.75" customHeight="1" x14ac:dyDescent="0.3">
      <c r="K380" s="8"/>
      <c r="L380" s="8"/>
      <c r="M380" s="8"/>
      <c r="N380" s="8"/>
    </row>
    <row r="381" spans="11:14" ht="15.75" customHeight="1" x14ac:dyDescent="0.3">
      <c r="K381" s="8"/>
      <c r="L381" s="8"/>
      <c r="M381" s="8"/>
      <c r="N381" s="8"/>
    </row>
    <row r="382" spans="11:14" ht="15.75" customHeight="1" x14ac:dyDescent="0.3">
      <c r="K382" s="8"/>
      <c r="L382" s="8"/>
      <c r="M382" s="8"/>
      <c r="N382" s="8"/>
    </row>
    <row r="383" spans="11:14" ht="15.75" customHeight="1" x14ac:dyDescent="0.3">
      <c r="K383" s="8"/>
      <c r="L383" s="8"/>
      <c r="M383" s="8"/>
      <c r="N383" s="8"/>
    </row>
    <row r="384" spans="11:14" ht="15.75" customHeight="1" x14ac:dyDescent="0.3">
      <c r="K384" s="8"/>
      <c r="L384" s="8"/>
      <c r="M384" s="8"/>
      <c r="N384" s="8"/>
    </row>
    <row r="385" spans="11:14" ht="15.75" customHeight="1" x14ac:dyDescent="0.3">
      <c r="K385" s="8"/>
      <c r="L385" s="8"/>
      <c r="M385" s="8"/>
      <c r="N385" s="8"/>
    </row>
    <row r="386" spans="11:14" ht="15.75" customHeight="1" x14ac:dyDescent="0.3">
      <c r="K386" s="8"/>
      <c r="L386" s="8"/>
      <c r="M386" s="8"/>
      <c r="N386" s="8"/>
    </row>
    <row r="387" spans="11:14" ht="15.75" customHeight="1" x14ac:dyDescent="0.3">
      <c r="K387" s="8"/>
      <c r="L387" s="8"/>
      <c r="M387" s="8"/>
      <c r="N387" s="8"/>
    </row>
    <row r="388" spans="11:14" ht="15.75" customHeight="1" x14ac:dyDescent="0.3">
      <c r="K388" s="8"/>
      <c r="L388" s="8"/>
      <c r="M388" s="8"/>
      <c r="N388" s="8"/>
    </row>
    <row r="389" spans="11:14" ht="15.75" customHeight="1" x14ac:dyDescent="0.3">
      <c r="K389" s="8"/>
      <c r="L389" s="8"/>
      <c r="M389" s="8"/>
      <c r="N389" s="8"/>
    </row>
    <row r="390" spans="11:14" ht="15.75" customHeight="1" x14ac:dyDescent="0.3">
      <c r="K390" s="8"/>
      <c r="L390" s="8"/>
      <c r="M390" s="8"/>
      <c r="N390" s="8"/>
    </row>
    <row r="391" spans="11:14" ht="15.75" customHeight="1" x14ac:dyDescent="0.3">
      <c r="K391" s="8"/>
      <c r="L391" s="8"/>
      <c r="M391" s="8"/>
      <c r="N391" s="8"/>
    </row>
    <row r="392" spans="11:14" ht="15.75" customHeight="1" x14ac:dyDescent="0.3">
      <c r="K392" s="8"/>
      <c r="L392" s="8"/>
      <c r="M392" s="8"/>
      <c r="N392" s="8"/>
    </row>
    <row r="393" spans="11:14" ht="15.75" customHeight="1" x14ac:dyDescent="0.3">
      <c r="K393" s="8"/>
      <c r="L393" s="8"/>
      <c r="M393" s="8"/>
      <c r="N393" s="8"/>
    </row>
    <row r="394" spans="11:14" ht="15.75" customHeight="1" x14ac:dyDescent="0.3">
      <c r="K394" s="8"/>
      <c r="L394" s="8"/>
      <c r="M394" s="8"/>
      <c r="N394" s="8"/>
    </row>
    <row r="395" spans="11:14" ht="15.75" customHeight="1" x14ac:dyDescent="0.3">
      <c r="K395" s="8"/>
      <c r="L395" s="8"/>
      <c r="M395" s="8"/>
      <c r="N395" s="8"/>
    </row>
    <row r="396" spans="11:14" ht="15.75" customHeight="1" x14ac:dyDescent="0.3">
      <c r="K396" s="8"/>
      <c r="L396" s="8"/>
      <c r="M396" s="8"/>
      <c r="N396" s="8"/>
    </row>
    <row r="397" spans="11:14" ht="15.75" customHeight="1" x14ac:dyDescent="0.3">
      <c r="K397" s="8"/>
      <c r="L397" s="8"/>
      <c r="M397" s="8"/>
      <c r="N397" s="8"/>
    </row>
    <row r="398" spans="11:14" ht="15.75" customHeight="1" x14ac:dyDescent="0.3">
      <c r="K398" s="8"/>
      <c r="L398" s="8"/>
      <c r="M398" s="8"/>
      <c r="N398" s="8"/>
    </row>
    <row r="399" spans="11:14" ht="15.75" customHeight="1" x14ac:dyDescent="0.3">
      <c r="K399" s="8"/>
      <c r="L399" s="8"/>
      <c r="M399" s="8"/>
      <c r="N399" s="8"/>
    </row>
    <row r="400" spans="11:14" ht="15.75" customHeight="1" x14ac:dyDescent="0.3">
      <c r="K400" s="8"/>
      <c r="L400" s="8"/>
      <c r="M400" s="8"/>
      <c r="N400" s="8"/>
    </row>
    <row r="401" spans="11:14" ht="15.75" customHeight="1" x14ac:dyDescent="0.3">
      <c r="K401" s="8"/>
      <c r="L401" s="8"/>
      <c r="M401" s="8"/>
      <c r="N401" s="8"/>
    </row>
    <row r="402" spans="11:14" ht="15.75" customHeight="1" x14ac:dyDescent="0.3">
      <c r="K402" s="8"/>
      <c r="L402" s="8"/>
      <c r="M402" s="8"/>
      <c r="N402" s="8"/>
    </row>
    <row r="403" spans="11:14" ht="15.75" customHeight="1" x14ac:dyDescent="0.3">
      <c r="K403" s="8"/>
      <c r="L403" s="8"/>
      <c r="M403" s="8"/>
      <c r="N403" s="8"/>
    </row>
    <row r="404" spans="11:14" ht="15.75" customHeight="1" x14ac:dyDescent="0.3">
      <c r="K404" s="8"/>
      <c r="L404" s="8"/>
      <c r="M404" s="8"/>
      <c r="N404" s="8"/>
    </row>
    <row r="405" spans="11:14" ht="15.75" customHeight="1" x14ac:dyDescent="0.3">
      <c r="K405" s="8"/>
      <c r="L405" s="8"/>
      <c r="M405" s="8"/>
      <c r="N405" s="8"/>
    </row>
    <row r="406" spans="11:14" ht="15.75" customHeight="1" x14ac:dyDescent="0.3">
      <c r="K406" s="8"/>
      <c r="L406" s="8"/>
      <c r="M406" s="8"/>
      <c r="N406" s="8"/>
    </row>
    <row r="407" spans="11:14" ht="15.75" customHeight="1" x14ac:dyDescent="0.3">
      <c r="K407" s="8"/>
      <c r="L407" s="8"/>
      <c r="M407" s="8"/>
      <c r="N407" s="8"/>
    </row>
    <row r="408" spans="11:14" ht="15.75" customHeight="1" x14ac:dyDescent="0.3">
      <c r="K408" s="8"/>
      <c r="L408" s="8"/>
      <c r="M408" s="8"/>
      <c r="N408" s="8"/>
    </row>
    <row r="409" spans="11:14" ht="15.75" customHeight="1" x14ac:dyDescent="0.3">
      <c r="K409" s="8"/>
      <c r="L409" s="8"/>
      <c r="M409" s="8"/>
      <c r="N409" s="8"/>
    </row>
    <row r="410" spans="11:14" ht="15.75" customHeight="1" x14ac:dyDescent="0.3">
      <c r="K410" s="8"/>
      <c r="L410" s="8"/>
      <c r="M410" s="8"/>
      <c r="N410" s="8"/>
    </row>
    <row r="411" spans="11:14" ht="15.75" customHeight="1" x14ac:dyDescent="0.3">
      <c r="K411" s="8"/>
      <c r="L411" s="8"/>
      <c r="M411" s="8"/>
      <c r="N411" s="8"/>
    </row>
    <row r="412" spans="11:14" ht="15.75" customHeight="1" x14ac:dyDescent="0.3">
      <c r="K412" s="8"/>
      <c r="L412" s="8"/>
      <c r="M412" s="8"/>
      <c r="N412" s="8"/>
    </row>
    <row r="413" spans="11:14" ht="15.75" customHeight="1" x14ac:dyDescent="0.3">
      <c r="K413" s="8"/>
      <c r="L413" s="8"/>
      <c r="M413" s="8"/>
      <c r="N413" s="8"/>
    </row>
    <row r="414" spans="11:14" ht="15.75" customHeight="1" x14ac:dyDescent="0.3">
      <c r="K414" s="8"/>
      <c r="L414" s="8"/>
      <c r="M414" s="8"/>
      <c r="N414" s="8"/>
    </row>
    <row r="415" spans="11:14" ht="15.75" customHeight="1" x14ac:dyDescent="0.3">
      <c r="K415" s="8"/>
      <c r="L415" s="8"/>
      <c r="M415" s="8"/>
      <c r="N415" s="8"/>
    </row>
    <row r="416" spans="11:14" ht="15.75" customHeight="1" x14ac:dyDescent="0.3">
      <c r="K416" s="8"/>
      <c r="L416" s="8"/>
      <c r="M416" s="8"/>
      <c r="N416" s="8"/>
    </row>
    <row r="417" spans="11:14" ht="15.75" customHeight="1" x14ac:dyDescent="0.3">
      <c r="K417" s="8"/>
      <c r="L417" s="8"/>
      <c r="M417" s="8"/>
      <c r="N417" s="8"/>
    </row>
    <row r="418" spans="11:14" ht="15.75" customHeight="1" x14ac:dyDescent="0.3">
      <c r="K418" s="8"/>
      <c r="L418" s="8"/>
      <c r="M418" s="8"/>
      <c r="N418" s="8"/>
    </row>
    <row r="419" spans="11:14" ht="15.75" customHeight="1" x14ac:dyDescent="0.3">
      <c r="K419" s="8"/>
      <c r="L419" s="8"/>
      <c r="M419" s="8"/>
      <c r="N419" s="8"/>
    </row>
    <row r="420" spans="11:14" ht="15.75" customHeight="1" x14ac:dyDescent="0.3">
      <c r="K420" s="8"/>
      <c r="L420" s="8"/>
      <c r="M420" s="8"/>
      <c r="N420" s="8"/>
    </row>
    <row r="421" spans="11:14" ht="15.75" customHeight="1" x14ac:dyDescent="0.3">
      <c r="K421" s="8"/>
      <c r="L421" s="8"/>
      <c r="M421" s="8"/>
      <c r="N421" s="8"/>
    </row>
    <row r="422" spans="11:14" ht="15.75" customHeight="1" x14ac:dyDescent="0.3">
      <c r="K422" s="8"/>
      <c r="L422" s="8"/>
      <c r="M422" s="8"/>
      <c r="N422" s="8"/>
    </row>
    <row r="423" spans="11:14" ht="15.75" customHeight="1" x14ac:dyDescent="0.3">
      <c r="K423" s="8"/>
      <c r="L423" s="8"/>
      <c r="M423" s="8"/>
      <c r="N423" s="8"/>
    </row>
    <row r="424" spans="11:14" ht="15.75" customHeight="1" x14ac:dyDescent="0.3">
      <c r="K424" s="8"/>
      <c r="L424" s="8"/>
      <c r="M424" s="8"/>
      <c r="N424" s="8"/>
    </row>
    <row r="425" spans="11:14" ht="15.75" customHeight="1" x14ac:dyDescent="0.3">
      <c r="K425" s="8"/>
      <c r="L425" s="8"/>
      <c r="M425" s="8"/>
      <c r="N425" s="8"/>
    </row>
    <row r="426" spans="11:14" ht="15.75" customHeight="1" x14ac:dyDescent="0.3">
      <c r="K426" s="8"/>
      <c r="L426" s="8"/>
      <c r="M426" s="8"/>
      <c r="N426" s="8"/>
    </row>
    <row r="427" spans="11:14" ht="15.75" customHeight="1" x14ac:dyDescent="0.3">
      <c r="K427" s="8"/>
      <c r="L427" s="8"/>
      <c r="M427" s="8"/>
      <c r="N427" s="8"/>
    </row>
    <row r="428" spans="11:14" ht="15.75" customHeight="1" x14ac:dyDescent="0.3">
      <c r="K428" s="8"/>
      <c r="L428" s="8"/>
      <c r="M428" s="8"/>
      <c r="N428" s="8"/>
    </row>
    <row r="429" spans="11:14" ht="15.75" customHeight="1" x14ac:dyDescent="0.3">
      <c r="K429" s="8"/>
      <c r="L429" s="8"/>
      <c r="M429" s="8"/>
      <c r="N429" s="8"/>
    </row>
    <row r="430" spans="11:14" ht="15.75" customHeight="1" x14ac:dyDescent="0.3">
      <c r="K430" s="8"/>
      <c r="L430" s="8"/>
      <c r="M430" s="8"/>
      <c r="N430" s="8"/>
    </row>
    <row r="431" spans="11:14" ht="15.75" customHeight="1" x14ac:dyDescent="0.3">
      <c r="K431" s="8"/>
      <c r="L431" s="8"/>
      <c r="M431" s="8"/>
      <c r="N431" s="8"/>
    </row>
    <row r="432" spans="11:14" ht="15.75" customHeight="1" x14ac:dyDescent="0.3">
      <c r="K432" s="8"/>
      <c r="L432" s="8"/>
      <c r="M432" s="8"/>
      <c r="N432" s="8"/>
    </row>
    <row r="433" spans="11:14" ht="15.75" customHeight="1" x14ac:dyDescent="0.3">
      <c r="K433" s="8"/>
      <c r="L433" s="8"/>
      <c r="M433" s="8"/>
      <c r="N433" s="8"/>
    </row>
    <row r="434" spans="11:14" ht="15.75" customHeight="1" x14ac:dyDescent="0.3">
      <c r="K434" s="8"/>
      <c r="L434" s="8"/>
      <c r="M434" s="8"/>
      <c r="N434" s="8"/>
    </row>
    <row r="435" spans="11:14" ht="15.75" customHeight="1" x14ac:dyDescent="0.3">
      <c r="K435" s="8"/>
      <c r="L435" s="8"/>
      <c r="M435" s="8"/>
      <c r="N435" s="8"/>
    </row>
    <row r="436" spans="11:14" ht="15.75" customHeight="1" x14ac:dyDescent="0.3">
      <c r="K436" s="8"/>
      <c r="L436" s="8"/>
      <c r="M436" s="8"/>
      <c r="N436" s="8"/>
    </row>
    <row r="437" spans="11:14" ht="15.75" customHeight="1" x14ac:dyDescent="0.3">
      <c r="K437" s="8"/>
      <c r="L437" s="8"/>
      <c r="M437" s="8"/>
      <c r="N437" s="8"/>
    </row>
    <row r="438" spans="11:14" ht="15.75" customHeight="1" x14ac:dyDescent="0.3">
      <c r="K438" s="8"/>
      <c r="L438" s="8"/>
      <c r="M438" s="8"/>
      <c r="N438" s="8"/>
    </row>
    <row r="439" spans="11:14" ht="15.75" customHeight="1" x14ac:dyDescent="0.3">
      <c r="K439" s="8"/>
      <c r="L439" s="8"/>
      <c r="M439" s="8"/>
      <c r="N439" s="8"/>
    </row>
    <row r="440" spans="11:14" ht="15.75" customHeight="1" x14ac:dyDescent="0.3">
      <c r="K440" s="8"/>
      <c r="L440" s="8"/>
      <c r="M440" s="8"/>
      <c r="N440" s="8"/>
    </row>
    <row r="441" spans="11:14" ht="15.75" customHeight="1" x14ac:dyDescent="0.3">
      <c r="K441" s="8"/>
      <c r="L441" s="8"/>
      <c r="M441" s="8"/>
      <c r="N441" s="8"/>
    </row>
    <row r="442" spans="11:14" ht="15.75" customHeight="1" x14ac:dyDescent="0.3">
      <c r="K442" s="8"/>
      <c r="L442" s="8"/>
      <c r="M442" s="8"/>
      <c r="N442" s="8"/>
    </row>
    <row r="443" spans="11:14" ht="15.75" customHeight="1" x14ac:dyDescent="0.3">
      <c r="K443" s="8"/>
      <c r="L443" s="8"/>
      <c r="M443" s="8"/>
      <c r="N443" s="8"/>
    </row>
    <row r="444" spans="11:14" ht="15.75" customHeight="1" x14ac:dyDescent="0.3">
      <c r="K444" s="8"/>
      <c r="L444" s="8"/>
      <c r="M444" s="8"/>
      <c r="N444" s="8"/>
    </row>
    <row r="445" spans="11:14" ht="15.75" customHeight="1" x14ac:dyDescent="0.3">
      <c r="K445" s="8"/>
      <c r="L445" s="8"/>
      <c r="M445" s="8"/>
      <c r="N445" s="8"/>
    </row>
    <row r="446" spans="11:14" ht="15.75" customHeight="1" x14ac:dyDescent="0.3">
      <c r="K446" s="8"/>
      <c r="L446" s="8"/>
      <c r="M446" s="8"/>
      <c r="N446" s="8"/>
    </row>
    <row r="447" spans="11:14" ht="15.75" customHeight="1" x14ac:dyDescent="0.3">
      <c r="K447" s="8"/>
      <c r="L447" s="8"/>
      <c r="M447" s="8"/>
      <c r="N447" s="8"/>
    </row>
    <row r="448" spans="11:14" ht="15.75" customHeight="1" x14ac:dyDescent="0.3">
      <c r="K448" s="8"/>
      <c r="L448" s="8"/>
      <c r="M448" s="8"/>
      <c r="N448" s="8"/>
    </row>
    <row r="449" spans="11:14" ht="15.75" customHeight="1" x14ac:dyDescent="0.3">
      <c r="K449" s="8"/>
      <c r="L449" s="8"/>
      <c r="M449" s="8"/>
      <c r="N449" s="8"/>
    </row>
    <row r="450" spans="11:14" ht="15.75" customHeight="1" x14ac:dyDescent="0.3">
      <c r="K450" s="8"/>
      <c r="L450" s="8"/>
      <c r="M450" s="8"/>
      <c r="N450" s="8"/>
    </row>
    <row r="451" spans="11:14" ht="15.75" customHeight="1" x14ac:dyDescent="0.3">
      <c r="K451" s="8"/>
      <c r="L451" s="8"/>
      <c r="M451" s="8"/>
      <c r="N451" s="8"/>
    </row>
    <row r="452" spans="11:14" ht="15.75" customHeight="1" x14ac:dyDescent="0.3">
      <c r="K452" s="8"/>
      <c r="L452" s="8"/>
      <c r="M452" s="8"/>
      <c r="N452" s="8"/>
    </row>
    <row r="453" spans="11:14" ht="15.75" customHeight="1" x14ac:dyDescent="0.3">
      <c r="K453" s="8"/>
      <c r="L453" s="8"/>
      <c r="M453" s="8"/>
      <c r="N453" s="8"/>
    </row>
    <row r="454" spans="11:14" ht="15.75" customHeight="1" x14ac:dyDescent="0.3">
      <c r="K454" s="8"/>
      <c r="L454" s="8"/>
      <c r="M454" s="8"/>
      <c r="N454" s="8"/>
    </row>
    <row r="455" spans="11:14" ht="15.75" customHeight="1" x14ac:dyDescent="0.3">
      <c r="K455" s="8"/>
      <c r="L455" s="8"/>
      <c r="M455" s="8"/>
      <c r="N455" s="8"/>
    </row>
    <row r="456" spans="11:14" ht="15.75" customHeight="1" x14ac:dyDescent="0.3">
      <c r="K456" s="8"/>
      <c r="L456" s="8"/>
      <c r="M456" s="8"/>
      <c r="N456" s="8"/>
    </row>
    <row r="457" spans="11:14" ht="15.75" customHeight="1" x14ac:dyDescent="0.3">
      <c r="K457" s="8"/>
      <c r="L457" s="8"/>
      <c r="M457" s="8"/>
      <c r="N457" s="8"/>
    </row>
    <row r="458" spans="11:14" ht="15.75" customHeight="1" x14ac:dyDescent="0.3">
      <c r="K458" s="8"/>
      <c r="L458" s="8"/>
      <c r="M458" s="8"/>
      <c r="N458" s="8"/>
    </row>
    <row r="459" spans="11:14" ht="15.75" customHeight="1" x14ac:dyDescent="0.3">
      <c r="K459" s="8"/>
      <c r="L459" s="8"/>
      <c r="M459" s="8"/>
      <c r="N459" s="8"/>
    </row>
    <row r="460" spans="11:14" ht="15.75" customHeight="1" x14ac:dyDescent="0.3">
      <c r="K460" s="8"/>
      <c r="L460" s="8"/>
      <c r="M460" s="8"/>
      <c r="N460" s="8"/>
    </row>
    <row r="461" spans="11:14" ht="15.75" customHeight="1" x14ac:dyDescent="0.3">
      <c r="K461" s="8"/>
      <c r="L461" s="8"/>
      <c r="M461" s="8"/>
      <c r="N461" s="8"/>
    </row>
    <row r="462" spans="11:14" ht="15.75" customHeight="1" x14ac:dyDescent="0.3">
      <c r="K462" s="8"/>
      <c r="L462" s="8"/>
      <c r="M462" s="8"/>
      <c r="N462" s="8"/>
    </row>
    <row r="463" spans="11:14" ht="15.75" customHeight="1" x14ac:dyDescent="0.3">
      <c r="K463" s="8"/>
      <c r="L463" s="8"/>
      <c r="M463" s="8"/>
      <c r="N463" s="8"/>
    </row>
    <row r="464" spans="11:14" ht="15.75" customHeight="1" x14ac:dyDescent="0.3">
      <c r="K464" s="8"/>
      <c r="L464" s="8"/>
      <c r="M464" s="8"/>
      <c r="N464" s="8"/>
    </row>
    <row r="465" spans="11:14" ht="15.75" customHeight="1" x14ac:dyDescent="0.3">
      <c r="K465" s="8"/>
      <c r="L465" s="8"/>
      <c r="M465" s="8"/>
      <c r="N465" s="8"/>
    </row>
    <row r="466" spans="11:14" ht="15.75" customHeight="1" x14ac:dyDescent="0.3">
      <c r="K466" s="8"/>
      <c r="L466" s="8"/>
      <c r="M466" s="8"/>
      <c r="N466" s="8"/>
    </row>
    <row r="467" spans="11:14" ht="15.75" customHeight="1" x14ac:dyDescent="0.3">
      <c r="K467" s="8"/>
      <c r="L467" s="8"/>
      <c r="M467" s="8"/>
      <c r="N467" s="8"/>
    </row>
    <row r="468" spans="11:14" ht="15.75" customHeight="1" x14ac:dyDescent="0.3">
      <c r="K468" s="8"/>
      <c r="L468" s="8"/>
      <c r="M468" s="8"/>
      <c r="N468" s="8"/>
    </row>
    <row r="469" spans="11:14" ht="15.75" customHeight="1" x14ac:dyDescent="0.3">
      <c r="K469" s="8"/>
      <c r="L469" s="8"/>
      <c r="M469" s="8"/>
      <c r="N469" s="8"/>
    </row>
    <row r="470" spans="11:14" ht="15.75" customHeight="1" x14ac:dyDescent="0.3">
      <c r="K470" s="8"/>
      <c r="L470" s="8"/>
      <c r="M470" s="8"/>
      <c r="N470" s="8"/>
    </row>
    <row r="471" spans="11:14" ht="15.75" customHeight="1" x14ac:dyDescent="0.3">
      <c r="K471" s="8"/>
      <c r="L471" s="8"/>
      <c r="M471" s="8"/>
      <c r="N471" s="8"/>
    </row>
    <row r="472" spans="11:14" ht="15.75" customHeight="1" x14ac:dyDescent="0.3">
      <c r="K472" s="8"/>
      <c r="L472" s="8"/>
      <c r="M472" s="8"/>
      <c r="N472" s="8"/>
    </row>
    <row r="473" spans="11:14" ht="15.75" customHeight="1" x14ac:dyDescent="0.3">
      <c r="K473" s="8"/>
      <c r="L473" s="8"/>
      <c r="M473" s="8"/>
      <c r="N473" s="8"/>
    </row>
    <row r="474" spans="11:14" ht="15.75" customHeight="1" x14ac:dyDescent="0.3">
      <c r="K474" s="8"/>
      <c r="L474" s="8"/>
      <c r="M474" s="8"/>
      <c r="N474" s="8"/>
    </row>
    <row r="475" spans="11:14" ht="15.75" customHeight="1" x14ac:dyDescent="0.3">
      <c r="K475" s="8"/>
      <c r="L475" s="8"/>
      <c r="M475" s="8"/>
      <c r="N475" s="8"/>
    </row>
    <row r="476" spans="11:14" ht="15.75" customHeight="1" x14ac:dyDescent="0.3">
      <c r="K476" s="8"/>
      <c r="L476" s="8"/>
      <c r="M476" s="8"/>
      <c r="N476" s="8"/>
    </row>
    <row r="477" spans="11:14" ht="15.75" customHeight="1" x14ac:dyDescent="0.3">
      <c r="K477" s="8"/>
      <c r="L477" s="8"/>
      <c r="M477" s="8"/>
      <c r="N477" s="8"/>
    </row>
    <row r="478" spans="11:14" ht="15.75" customHeight="1" x14ac:dyDescent="0.3">
      <c r="K478" s="8"/>
      <c r="L478" s="8"/>
      <c r="M478" s="8"/>
      <c r="N478" s="8"/>
    </row>
    <row r="479" spans="11:14" ht="15.75" customHeight="1" x14ac:dyDescent="0.3">
      <c r="K479" s="8"/>
      <c r="L479" s="8"/>
      <c r="M479" s="8"/>
      <c r="N479" s="8"/>
    </row>
    <row r="480" spans="11:14" ht="15.75" customHeight="1" x14ac:dyDescent="0.3">
      <c r="K480" s="8"/>
      <c r="L480" s="8"/>
      <c r="M480" s="8"/>
      <c r="N480" s="8"/>
    </row>
    <row r="481" spans="11:14" ht="15.75" customHeight="1" x14ac:dyDescent="0.3">
      <c r="K481" s="8"/>
      <c r="L481" s="8"/>
      <c r="M481" s="8"/>
      <c r="N481" s="8"/>
    </row>
    <row r="482" spans="11:14" ht="15.75" customHeight="1" x14ac:dyDescent="0.3">
      <c r="K482" s="8"/>
      <c r="L482" s="8"/>
      <c r="M482" s="8"/>
      <c r="N482" s="8"/>
    </row>
    <row r="483" spans="11:14" ht="15.75" customHeight="1" x14ac:dyDescent="0.3">
      <c r="K483" s="8"/>
      <c r="L483" s="8"/>
      <c r="M483" s="8"/>
      <c r="N483" s="8"/>
    </row>
    <row r="484" spans="11:14" ht="15.75" customHeight="1" x14ac:dyDescent="0.3">
      <c r="K484" s="8"/>
      <c r="L484" s="8"/>
      <c r="M484" s="8"/>
      <c r="N484" s="8"/>
    </row>
    <row r="485" spans="11:14" ht="15.75" customHeight="1" x14ac:dyDescent="0.3">
      <c r="K485" s="8"/>
      <c r="L485" s="8"/>
      <c r="M485" s="8"/>
      <c r="N485" s="8"/>
    </row>
    <row r="486" spans="11:14" ht="15.75" customHeight="1" x14ac:dyDescent="0.3">
      <c r="K486" s="8"/>
      <c r="L486" s="8"/>
      <c r="M486" s="8"/>
      <c r="N486" s="8"/>
    </row>
    <row r="487" spans="11:14" ht="15.75" customHeight="1" x14ac:dyDescent="0.3">
      <c r="K487" s="8"/>
      <c r="L487" s="8"/>
      <c r="M487" s="8"/>
      <c r="N487" s="8"/>
    </row>
    <row r="488" spans="11:14" ht="15.75" customHeight="1" x14ac:dyDescent="0.3">
      <c r="K488" s="8"/>
      <c r="L488" s="8"/>
      <c r="M488" s="8"/>
      <c r="N488" s="8"/>
    </row>
    <row r="489" spans="11:14" ht="15.75" customHeight="1" x14ac:dyDescent="0.3">
      <c r="K489" s="8"/>
      <c r="L489" s="8"/>
      <c r="M489" s="8"/>
      <c r="N489" s="8"/>
    </row>
    <row r="490" spans="11:14" ht="15.75" customHeight="1" x14ac:dyDescent="0.3">
      <c r="K490" s="8"/>
      <c r="L490" s="8"/>
      <c r="M490" s="8"/>
      <c r="N490" s="8"/>
    </row>
    <row r="491" spans="11:14" ht="15.75" customHeight="1" x14ac:dyDescent="0.3">
      <c r="K491" s="8"/>
      <c r="L491" s="8"/>
      <c r="M491" s="8"/>
      <c r="N491" s="8"/>
    </row>
    <row r="492" spans="11:14" ht="15.75" customHeight="1" x14ac:dyDescent="0.3">
      <c r="K492" s="8"/>
      <c r="L492" s="8"/>
      <c r="M492" s="8"/>
      <c r="N492" s="8"/>
    </row>
    <row r="493" spans="11:14" ht="15.75" customHeight="1" x14ac:dyDescent="0.3">
      <c r="K493" s="8"/>
      <c r="L493" s="8"/>
      <c r="M493" s="8"/>
      <c r="N493" s="8"/>
    </row>
    <row r="494" spans="11:14" ht="15.75" customHeight="1" x14ac:dyDescent="0.3">
      <c r="K494" s="8"/>
      <c r="L494" s="8"/>
      <c r="M494" s="8"/>
      <c r="N494" s="8"/>
    </row>
    <row r="495" spans="11:14" ht="15.75" customHeight="1" x14ac:dyDescent="0.3">
      <c r="K495" s="8"/>
      <c r="L495" s="8"/>
      <c r="M495" s="8"/>
      <c r="N495" s="8"/>
    </row>
    <row r="496" spans="11:14" ht="15.75" customHeight="1" x14ac:dyDescent="0.3">
      <c r="K496" s="8"/>
      <c r="L496" s="8"/>
      <c r="M496" s="8"/>
      <c r="N496" s="8"/>
    </row>
    <row r="497" spans="11:14" ht="15.75" customHeight="1" x14ac:dyDescent="0.3">
      <c r="K497" s="8"/>
      <c r="L497" s="8"/>
      <c r="M497" s="8"/>
      <c r="N497" s="8"/>
    </row>
    <row r="498" spans="11:14" ht="15.75" customHeight="1" x14ac:dyDescent="0.3">
      <c r="K498" s="8"/>
      <c r="L498" s="8"/>
      <c r="M498" s="8"/>
      <c r="N498" s="8"/>
    </row>
    <row r="499" spans="11:14" ht="15.75" customHeight="1" x14ac:dyDescent="0.3">
      <c r="K499" s="8"/>
      <c r="L499" s="8"/>
      <c r="M499" s="8"/>
      <c r="N499" s="8"/>
    </row>
    <row r="500" spans="11:14" ht="15.75" customHeight="1" x14ac:dyDescent="0.3">
      <c r="K500" s="8"/>
      <c r="L500" s="8"/>
      <c r="M500" s="8"/>
      <c r="N500" s="8"/>
    </row>
    <row r="501" spans="11:14" ht="15.75" customHeight="1" x14ac:dyDescent="0.3">
      <c r="K501" s="8"/>
      <c r="L501" s="8"/>
      <c r="M501" s="8"/>
      <c r="N501" s="8"/>
    </row>
    <row r="502" spans="11:14" ht="15.75" customHeight="1" x14ac:dyDescent="0.3">
      <c r="K502" s="8"/>
      <c r="L502" s="8"/>
      <c r="M502" s="8"/>
      <c r="N502" s="8"/>
    </row>
    <row r="503" spans="11:14" ht="15.75" customHeight="1" x14ac:dyDescent="0.3">
      <c r="K503" s="8"/>
      <c r="L503" s="8"/>
      <c r="M503" s="8"/>
      <c r="N503" s="8"/>
    </row>
    <row r="504" spans="11:14" ht="15.75" customHeight="1" x14ac:dyDescent="0.3">
      <c r="K504" s="8"/>
      <c r="L504" s="8"/>
      <c r="M504" s="8"/>
      <c r="N504" s="8"/>
    </row>
    <row r="505" spans="11:14" ht="15.75" customHeight="1" x14ac:dyDescent="0.3">
      <c r="K505" s="8"/>
      <c r="L505" s="8"/>
      <c r="M505" s="8"/>
      <c r="N505" s="8"/>
    </row>
    <row r="506" spans="11:14" ht="15.75" customHeight="1" x14ac:dyDescent="0.3">
      <c r="K506" s="8"/>
      <c r="L506" s="8"/>
      <c r="M506" s="8"/>
      <c r="N506" s="8"/>
    </row>
    <row r="507" spans="11:14" ht="15.75" customHeight="1" x14ac:dyDescent="0.3">
      <c r="K507" s="8"/>
      <c r="L507" s="8"/>
      <c r="M507" s="8"/>
      <c r="N507" s="8"/>
    </row>
    <row r="508" spans="11:14" ht="15.75" customHeight="1" x14ac:dyDescent="0.3">
      <c r="K508" s="8"/>
      <c r="L508" s="8"/>
      <c r="M508" s="8"/>
      <c r="N508" s="8"/>
    </row>
    <row r="509" spans="11:14" ht="15.75" customHeight="1" x14ac:dyDescent="0.3">
      <c r="K509" s="8"/>
      <c r="L509" s="8"/>
      <c r="M509" s="8"/>
      <c r="N509" s="8"/>
    </row>
    <row r="510" spans="11:14" ht="15.75" customHeight="1" x14ac:dyDescent="0.3">
      <c r="K510" s="8"/>
      <c r="L510" s="8"/>
      <c r="M510" s="8"/>
      <c r="N510" s="8"/>
    </row>
    <row r="511" spans="11:14" ht="15.75" customHeight="1" x14ac:dyDescent="0.3">
      <c r="K511" s="8"/>
      <c r="L511" s="8"/>
      <c r="M511" s="8"/>
      <c r="N511" s="8"/>
    </row>
    <row r="512" spans="11:14" ht="15.75" customHeight="1" x14ac:dyDescent="0.3">
      <c r="K512" s="8"/>
      <c r="L512" s="8"/>
      <c r="M512" s="8"/>
      <c r="N512" s="8"/>
    </row>
    <row r="513" spans="11:14" ht="15.75" customHeight="1" x14ac:dyDescent="0.3">
      <c r="K513" s="8"/>
      <c r="L513" s="8"/>
      <c r="M513" s="8"/>
      <c r="N513" s="8"/>
    </row>
    <row r="514" spans="11:14" ht="15.75" customHeight="1" x14ac:dyDescent="0.3">
      <c r="K514" s="8"/>
      <c r="L514" s="8"/>
      <c r="M514" s="8"/>
      <c r="N514" s="8"/>
    </row>
    <row r="515" spans="11:14" ht="15.75" customHeight="1" x14ac:dyDescent="0.3">
      <c r="K515" s="8"/>
      <c r="L515" s="8"/>
      <c r="M515" s="8"/>
      <c r="N515" s="8"/>
    </row>
    <row r="516" spans="11:14" ht="15.75" customHeight="1" x14ac:dyDescent="0.3">
      <c r="K516" s="8"/>
      <c r="L516" s="8"/>
      <c r="M516" s="8"/>
      <c r="N516" s="8"/>
    </row>
    <row r="517" spans="11:14" ht="15.75" customHeight="1" x14ac:dyDescent="0.3">
      <c r="K517" s="8"/>
      <c r="L517" s="8"/>
      <c r="M517" s="8"/>
      <c r="N517" s="8"/>
    </row>
    <row r="518" spans="11:14" ht="15.75" customHeight="1" x14ac:dyDescent="0.3">
      <c r="K518" s="8"/>
      <c r="L518" s="8"/>
      <c r="M518" s="8"/>
      <c r="N518" s="8"/>
    </row>
    <row r="519" spans="11:14" ht="15.75" customHeight="1" x14ac:dyDescent="0.3">
      <c r="K519" s="8"/>
      <c r="L519" s="8"/>
      <c r="M519" s="8"/>
      <c r="N519" s="8"/>
    </row>
    <row r="520" spans="11:14" ht="15.75" customHeight="1" x14ac:dyDescent="0.3">
      <c r="K520" s="8"/>
      <c r="L520" s="8"/>
      <c r="M520" s="8"/>
      <c r="N520" s="8"/>
    </row>
    <row r="521" spans="11:14" ht="15.75" customHeight="1" x14ac:dyDescent="0.3">
      <c r="K521" s="8"/>
      <c r="L521" s="8"/>
      <c r="M521" s="8"/>
      <c r="N521" s="8"/>
    </row>
    <row r="522" spans="11:14" ht="15.75" customHeight="1" x14ac:dyDescent="0.3">
      <c r="K522" s="8"/>
      <c r="L522" s="8"/>
      <c r="M522" s="8"/>
      <c r="N522" s="8"/>
    </row>
    <row r="523" spans="11:14" ht="15.75" customHeight="1" x14ac:dyDescent="0.3">
      <c r="K523" s="8"/>
      <c r="L523" s="8"/>
      <c r="M523" s="8"/>
      <c r="N523" s="8"/>
    </row>
    <row r="524" spans="11:14" ht="15.75" customHeight="1" x14ac:dyDescent="0.3">
      <c r="K524" s="8"/>
      <c r="L524" s="8"/>
      <c r="M524" s="8"/>
      <c r="N524" s="8"/>
    </row>
    <row r="525" spans="11:14" ht="15.75" customHeight="1" x14ac:dyDescent="0.3">
      <c r="K525" s="8"/>
      <c r="L525" s="8"/>
      <c r="M525" s="8"/>
      <c r="N525" s="8"/>
    </row>
    <row r="526" spans="11:14" ht="15.75" customHeight="1" x14ac:dyDescent="0.3">
      <c r="K526" s="8"/>
      <c r="L526" s="8"/>
      <c r="M526" s="8"/>
      <c r="N526" s="8"/>
    </row>
    <row r="527" spans="11:14" ht="15.75" customHeight="1" x14ac:dyDescent="0.3">
      <c r="K527" s="8"/>
      <c r="L527" s="8"/>
      <c r="M527" s="8"/>
      <c r="N527" s="8"/>
    </row>
    <row r="528" spans="11:14" ht="15.75" customHeight="1" x14ac:dyDescent="0.3">
      <c r="K528" s="8"/>
      <c r="L528" s="8"/>
      <c r="M528" s="8"/>
      <c r="N528" s="8"/>
    </row>
    <row r="529" spans="11:14" ht="15.75" customHeight="1" x14ac:dyDescent="0.3">
      <c r="K529" s="8"/>
      <c r="L529" s="8"/>
      <c r="M529" s="8"/>
      <c r="N529" s="8"/>
    </row>
    <row r="530" spans="11:14" ht="15.75" customHeight="1" x14ac:dyDescent="0.3">
      <c r="K530" s="8"/>
      <c r="L530" s="8"/>
      <c r="M530" s="8"/>
      <c r="N530" s="8"/>
    </row>
    <row r="531" spans="11:14" ht="15.75" customHeight="1" x14ac:dyDescent="0.3">
      <c r="K531" s="8"/>
      <c r="L531" s="8"/>
      <c r="M531" s="8"/>
      <c r="N531" s="8"/>
    </row>
    <row r="532" spans="11:14" ht="15.75" customHeight="1" x14ac:dyDescent="0.3">
      <c r="K532" s="8"/>
      <c r="L532" s="8"/>
      <c r="M532" s="8"/>
      <c r="N532" s="8"/>
    </row>
    <row r="533" spans="11:14" ht="15.75" customHeight="1" x14ac:dyDescent="0.3">
      <c r="K533" s="8"/>
      <c r="L533" s="8"/>
      <c r="M533" s="8"/>
      <c r="N533" s="8"/>
    </row>
    <row r="534" spans="11:14" ht="15.75" customHeight="1" x14ac:dyDescent="0.3">
      <c r="K534" s="8"/>
      <c r="L534" s="8"/>
      <c r="M534" s="8"/>
      <c r="N534" s="8"/>
    </row>
    <row r="535" spans="11:14" ht="15.75" customHeight="1" x14ac:dyDescent="0.3">
      <c r="K535" s="8"/>
      <c r="L535" s="8"/>
      <c r="M535" s="8"/>
      <c r="N535" s="8"/>
    </row>
    <row r="536" spans="11:14" ht="15.75" customHeight="1" x14ac:dyDescent="0.3">
      <c r="K536" s="8"/>
      <c r="L536" s="8"/>
      <c r="M536" s="8"/>
      <c r="N536" s="8"/>
    </row>
    <row r="537" spans="11:14" ht="15.75" customHeight="1" x14ac:dyDescent="0.3">
      <c r="K537" s="8"/>
      <c r="L537" s="8"/>
      <c r="M537" s="8"/>
      <c r="N537" s="8"/>
    </row>
    <row r="538" spans="11:14" ht="15.75" customHeight="1" x14ac:dyDescent="0.3">
      <c r="K538" s="8"/>
      <c r="L538" s="8"/>
      <c r="M538" s="8"/>
      <c r="N538" s="8"/>
    </row>
    <row r="539" spans="11:14" ht="15.75" customHeight="1" x14ac:dyDescent="0.3">
      <c r="K539" s="8"/>
      <c r="L539" s="8"/>
      <c r="M539" s="8"/>
      <c r="N539" s="8"/>
    </row>
    <row r="540" spans="11:14" ht="15.75" customHeight="1" x14ac:dyDescent="0.3">
      <c r="K540" s="8"/>
      <c r="L540" s="8"/>
      <c r="M540" s="8"/>
      <c r="N540" s="8"/>
    </row>
    <row r="541" spans="11:14" ht="15.75" customHeight="1" x14ac:dyDescent="0.3">
      <c r="K541" s="8"/>
      <c r="L541" s="8"/>
      <c r="M541" s="8"/>
      <c r="N541" s="8"/>
    </row>
    <row r="542" spans="11:14" ht="15.75" customHeight="1" x14ac:dyDescent="0.3">
      <c r="K542" s="8"/>
      <c r="L542" s="8"/>
      <c r="M542" s="8"/>
      <c r="N542" s="8"/>
    </row>
    <row r="543" spans="11:14" ht="15.75" customHeight="1" x14ac:dyDescent="0.3">
      <c r="K543" s="8"/>
      <c r="L543" s="8"/>
      <c r="M543" s="8"/>
      <c r="N543" s="8"/>
    </row>
    <row r="544" spans="11:14" ht="15.75" customHeight="1" x14ac:dyDescent="0.3">
      <c r="K544" s="8"/>
      <c r="L544" s="8"/>
      <c r="M544" s="8"/>
      <c r="N544" s="8"/>
    </row>
    <row r="545" spans="11:14" ht="15.75" customHeight="1" x14ac:dyDescent="0.3">
      <c r="K545" s="8"/>
      <c r="L545" s="8"/>
      <c r="M545" s="8"/>
      <c r="N545" s="8"/>
    </row>
    <row r="546" spans="11:14" ht="15.75" customHeight="1" x14ac:dyDescent="0.3">
      <c r="K546" s="8"/>
      <c r="L546" s="8"/>
      <c r="M546" s="8"/>
      <c r="N546" s="8"/>
    </row>
    <row r="547" spans="11:14" ht="15.75" customHeight="1" x14ac:dyDescent="0.3">
      <c r="K547" s="8"/>
      <c r="L547" s="8"/>
      <c r="M547" s="8"/>
      <c r="N547" s="8"/>
    </row>
    <row r="548" spans="11:14" ht="15.75" customHeight="1" x14ac:dyDescent="0.3">
      <c r="K548" s="8"/>
      <c r="L548" s="8"/>
      <c r="M548" s="8"/>
      <c r="N548" s="8"/>
    </row>
    <row r="549" spans="11:14" ht="15.75" customHeight="1" x14ac:dyDescent="0.3">
      <c r="K549" s="8"/>
      <c r="L549" s="8"/>
      <c r="M549" s="8"/>
      <c r="N549" s="8"/>
    </row>
    <row r="550" spans="11:14" ht="15.75" customHeight="1" x14ac:dyDescent="0.3">
      <c r="K550" s="8"/>
      <c r="L550" s="8"/>
      <c r="M550" s="8"/>
      <c r="N550" s="8"/>
    </row>
    <row r="551" spans="11:14" ht="15.75" customHeight="1" x14ac:dyDescent="0.3">
      <c r="K551" s="8"/>
      <c r="L551" s="8"/>
      <c r="M551" s="8"/>
      <c r="N551" s="8"/>
    </row>
    <row r="552" spans="11:14" ht="15.75" customHeight="1" x14ac:dyDescent="0.3">
      <c r="K552" s="8"/>
      <c r="L552" s="8"/>
      <c r="M552" s="8"/>
      <c r="N552" s="8"/>
    </row>
    <row r="553" spans="11:14" ht="15.75" customHeight="1" x14ac:dyDescent="0.3">
      <c r="K553" s="8"/>
      <c r="L553" s="8"/>
      <c r="M553" s="8"/>
      <c r="N553" s="8"/>
    </row>
    <row r="554" spans="11:14" ht="15.75" customHeight="1" x14ac:dyDescent="0.3">
      <c r="K554" s="8"/>
      <c r="L554" s="8"/>
      <c r="M554" s="8"/>
      <c r="N554" s="8"/>
    </row>
    <row r="555" spans="11:14" ht="15.75" customHeight="1" x14ac:dyDescent="0.3">
      <c r="K555" s="8"/>
      <c r="L555" s="8"/>
      <c r="M555" s="8"/>
      <c r="N555" s="8"/>
    </row>
    <row r="556" spans="11:14" ht="15.75" customHeight="1" x14ac:dyDescent="0.3">
      <c r="K556" s="8"/>
      <c r="L556" s="8"/>
      <c r="M556" s="8"/>
      <c r="N556" s="8"/>
    </row>
    <row r="557" spans="11:14" ht="15.75" customHeight="1" x14ac:dyDescent="0.3">
      <c r="K557" s="8"/>
      <c r="L557" s="8"/>
      <c r="M557" s="8"/>
      <c r="N557" s="8"/>
    </row>
    <row r="558" spans="11:14" ht="15.75" customHeight="1" x14ac:dyDescent="0.3">
      <c r="K558" s="8"/>
      <c r="L558" s="8"/>
      <c r="M558" s="8"/>
      <c r="N558" s="8"/>
    </row>
    <row r="559" spans="11:14" ht="15.75" customHeight="1" x14ac:dyDescent="0.3">
      <c r="K559" s="8"/>
      <c r="L559" s="8"/>
      <c r="M559" s="8"/>
      <c r="N559" s="8"/>
    </row>
    <row r="560" spans="11:14" ht="15.75" customHeight="1" x14ac:dyDescent="0.3">
      <c r="K560" s="8"/>
      <c r="L560" s="8"/>
      <c r="M560" s="8"/>
      <c r="N560" s="8"/>
    </row>
    <row r="561" spans="11:14" ht="15.75" customHeight="1" x14ac:dyDescent="0.3">
      <c r="K561" s="8"/>
      <c r="L561" s="8"/>
      <c r="M561" s="8"/>
      <c r="N561" s="8"/>
    </row>
    <row r="562" spans="11:14" ht="15.75" customHeight="1" x14ac:dyDescent="0.3">
      <c r="K562" s="8"/>
      <c r="L562" s="8"/>
      <c r="M562" s="8"/>
      <c r="N562" s="8"/>
    </row>
    <row r="563" spans="11:14" ht="15.75" customHeight="1" x14ac:dyDescent="0.3">
      <c r="K563" s="8"/>
      <c r="L563" s="8"/>
      <c r="M563" s="8"/>
      <c r="N563" s="8"/>
    </row>
    <row r="564" spans="11:14" ht="15.75" customHeight="1" x14ac:dyDescent="0.3">
      <c r="K564" s="8"/>
      <c r="L564" s="8"/>
      <c r="M564" s="8"/>
      <c r="N564" s="8"/>
    </row>
    <row r="565" spans="11:14" ht="15.75" customHeight="1" x14ac:dyDescent="0.3">
      <c r="K565" s="8"/>
      <c r="L565" s="8"/>
      <c r="M565" s="8"/>
      <c r="N565" s="8"/>
    </row>
    <row r="566" spans="11:14" ht="15.75" customHeight="1" x14ac:dyDescent="0.3">
      <c r="K566" s="8"/>
      <c r="L566" s="8"/>
      <c r="M566" s="8"/>
      <c r="N566" s="8"/>
    </row>
    <row r="567" spans="11:14" ht="15.75" customHeight="1" x14ac:dyDescent="0.3">
      <c r="K567" s="8"/>
      <c r="L567" s="8"/>
      <c r="M567" s="8"/>
      <c r="N567" s="8"/>
    </row>
    <row r="568" spans="11:14" ht="15.75" customHeight="1" x14ac:dyDescent="0.3">
      <c r="K568" s="8"/>
      <c r="L568" s="8"/>
      <c r="M568" s="8"/>
      <c r="N568" s="8"/>
    </row>
    <row r="569" spans="11:14" ht="15.75" customHeight="1" x14ac:dyDescent="0.3">
      <c r="K569" s="8"/>
      <c r="L569" s="8"/>
      <c r="M569" s="8"/>
      <c r="N569" s="8"/>
    </row>
    <row r="570" spans="11:14" ht="15.75" customHeight="1" x14ac:dyDescent="0.3">
      <c r="K570" s="8"/>
      <c r="L570" s="8"/>
      <c r="M570" s="8"/>
      <c r="N570" s="8"/>
    </row>
    <row r="571" spans="11:14" ht="15.75" customHeight="1" x14ac:dyDescent="0.3">
      <c r="K571" s="8"/>
      <c r="L571" s="8"/>
      <c r="M571" s="8"/>
      <c r="N571" s="8"/>
    </row>
    <row r="572" spans="11:14" ht="15.75" customHeight="1" x14ac:dyDescent="0.3">
      <c r="K572" s="8"/>
      <c r="L572" s="8"/>
      <c r="M572" s="8"/>
      <c r="N572" s="8"/>
    </row>
    <row r="573" spans="11:14" ht="15.75" customHeight="1" x14ac:dyDescent="0.3">
      <c r="K573" s="8"/>
      <c r="L573" s="8"/>
      <c r="M573" s="8"/>
      <c r="N573" s="8"/>
    </row>
    <row r="574" spans="11:14" ht="15.75" customHeight="1" x14ac:dyDescent="0.3">
      <c r="K574" s="8"/>
      <c r="L574" s="8"/>
      <c r="M574" s="8"/>
      <c r="N574" s="8"/>
    </row>
    <row r="575" spans="11:14" ht="15.75" customHeight="1" x14ac:dyDescent="0.3">
      <c r="K575" s="8"/>
      <c r="L575" s="8"/>
      <c r="M575" s="8"/>
      <c r="N575" s="8"/>
    </row>
    <row r="576" spans="11:14" ht="15.75" customHeight="1" x14ac:dyDescent="0.3">
      <c r="K576" s="8"/>
      <c r="L576" s="8"/>
      <c r="M576" s="8"/>
      <c r="N576" s="8"/>
    </row>
    <row r="577" spans="11:14" ht="15.75" customHeight="1" x14ac:dyDescent="0.3">
      <c r="K577" s="8"/>
      <c r="L577" s="8"/>
      <c r="M577" s="8"/>
      <c r="N577" s="8"/>
    </row>
    <row r="578" spans="11:14" ht="15.75" customHeight="1" x14ac:dyDescent="0.3">
      <c r="K578" s="8"/>
      <c r="L578" s="8"/>
      <c r="M578" s="8"/>
      <c r="N578" s="8"/>
    </row>
    <row r="579" spans="11:14" ht="15.75" customHeight="1" x14ac:dyDescent="0.3">
      <c r="K579" s="8"/>
      <c r="L579" s="8"/>
      <c r="M579" s="8"/>
      <c r="N579" s="8"/>
    </row>
    <row r="580" spans="11:14" ht="15.75" customHeight="1" x14ac:dyDescent="0.3">
      <c r="K580" s="8"/>
      <c r="L580" s="8"/>
      <c r="M580" s="8"/>
      <c r="N580" s="8"/>
    </row>
    <row r="581" spans="11:14" ht="15.75" customHeight="1" x14ac:dyDescent="0.3">
      <c r="K581" s="8"/>
      <c r="L581" s="8"/>
      <c r="M581" s="8"/>
      <c r="N581" s="8"/>
    </row>
    <row r="582" spans="11:14" ht="15.75" customHeight="1" x14ac:dyDescent="0.3">
      <c r="K582" s="8"/>
      <c r="L582" s="8"/>
      <c r="M582" s="8"/>
      <c r="N582" s="8"/>
    </row>
    <row r="583" spans="11:14" ht="15.75" customHeight="1" x14ac:dyDescent="0.3">
      <c r="K583" s="8"/>
      <c r="L583" s="8"/>
      <c r="M583" s="8"/>
      <c r="N583" s="8"/>
    </row>
    <row r="584" spans="11:14" ht="15.75" customHeight="1" x14ac:dyDescent="0.3">
      <c r="K584" s="8"/>
      <c r="L584" s="8"/>
      <c r="M584" s="8"/>
      <c r="N584" s="8"/>
    </row>
    <row r="585" spans="11:14" ht="15.75" customHeight="1" x14ac:dyDescent="0.3">
      <c r="K585" s="8"/>
      <c r="L585" s="8"/>
      <c r="M585" s="8"/>
      <c r="N585" s="8"/>
    </row>
    <row r="586" spans="11:14" ht="15.75" customHeight="1" x14ac:dyDescent="0.3">
      <c r="K586" s="8"/>
      <c r="L586" s="8"/>
      <c r="M586" s="8"/>
      <c r="N586" s="8"/>
    </row>
    <row r="587" spans="11:14" ht="15.75" customHeight="1" x14ac:dyDescent="0.3">
      <c r="K587" s="8"/>
      <c r="L587" s="8"/>
      <c r="M587" s="8"/>
      <c r="N587" s="8"/>
    </row>
    <row r="588" spans="11:14" ht="15.75" customHeight="1" x14ac:dyDescent="0.3">
      <c r="K588" s="8"/>
      <c r="L588" s="8"/>
      <c r="M588" s="8"/>
      <c r="N588" s="8"/>
    </row>
    <row r="589" spans="11:14" ht="15.75" customHeight="1" x14ac:dyDescent="0.3">
      <c r="K589" s="8"/>
      <c r="L589" s="8"/>
      <c r="M589" s="8"/>
      <c r="N589" s="8"/>
    </row>
    <row r="590" spans="11:14" ht="15.75" customHeight="1" x14ac:dyDescent="0.3">
      <c r="K590" s="8"/>
      <c r="L590" s="8"/>
      <c r="M590" s="8"/>
      <c r="N590" s="8"/>
    </row>
    <row r="591" spans="11:14" ht="15.75" customHeight="1" x14ac:dyDescent="0.3">
      <c r="K591" s="8"/>
      <c r="L591" s="8"/>
      <c r="M591" s="8"/>
      <c r="N591" s="8"/>
    </row>
    <row r="592" spans="11:14" ht="15.75" customHeight="1" x14ac:dyDescent="0.3">
      <c r="K592" s="8"/>
      <c r="L592" s="8"/>
      <c r="M592" s="8"/>
      <c r="N592" s="8"/>
    </row>
    <row r="593" spans="11:14" ht="15.75" customHeight="1" x14ac:dyDescent="0.3">
      <c r="K593" s="8"/>
      <c r="L593" s="8"/>
      <c r="M593" s="8"/>
      <c r="N593" s="8"/>
    </row>
    <row r="594" spans="11:14" ht="15.75" customHeight="1" x14ac:dyDescent="0.3">
      <c r="K594" s="8"/>
      <c r="L594" s="8"/>
      <c r="M594" s="8"/>
      <c r="N594" s="8"/>
    </row>
    <row r="595" spans="11:14" ht="15.75" customHeight="1" x14ac:dyDescent="0.3">
      <c r="K595" s="8"/>
      <c r="L595" s="8"/>
      <c r="M595" s="8"/>
      <c r="N595" s="8"/>
    </row>
    <row r="596" spans="11:14" ht="15.75" customHeight="1" x14ac:dyDescent="0.3">
      <c r="K596" s="8"/>
      <c r="L596" s="8"/>
      <c r="M596" s="8"/>
      <c r="N596" s="8"/>
    </row>
    <row r="597" spans="11:14" ht="15.75" customHeight="1" x14ac:dyDescent="0.3">
      <c r="K597" s="8"/>
      <c r="L597" s="8"/>
      <c r="M597" s="8"/>
      <c r="N597" s="8"/>
    </row>
    <row r="598" spans="11:14" ht="15.75" customHeight="1" x14ac:dyDescent="0.3">
      <c r="K598" s="8"/>
      <c r="L598" s="8"/>
      <c r="M598" s="8"/>
      <c r="N598" s="8"/>
    </row>
    <row r="599" spans="11:14" ht="15.75" customHeight="1" x14ac:dyDescent="0.3">
      <c r="K599" s="8"/>
      <c r="L599" s="8"/>
      <c r="M599" s="8"/>
      <c r="N599" s="8"/>
    </row>
    <row r="600" spans="11:14" ht="15.75" customHeight="1" x14ac:dyDescent="0.3">
      <c r="K600" s="8"/>
      <c r="L600" s="8"/>
      <c r="M600" s="8"/>
      <c r="N600" s="8"/>
    </row>
    <row r="601" spans="11:14" ht="15.75" customHeight="1" x14ac:dyDescent="0.3">
      <c r="K601" s="8"/>
      <c r="L601" s="8"/>
      <c r="M601" s="8"/>
      <c r="N601" s="8"/>
    </row>
    <row r="602" spans="11:14" ht="15.75" customHeight="1" x14ac:dyDescent="0.3">
      <c r="K602" s="8"/>
      <c r="L602" s="8"/>
      <c r="M602" s="8"/>
      <c r="N602" s="8"/>
    </row>
    <row r="603" spans="11:14" ht="15.75" customHeight="1" x14ac:dyDescent="0.3">
      <c r="K603" s="8"/>
      <c r="L603" s="8"/>
      <c r="M603" s="8"/>
      <c r="N603" s="8"/>
    </row>
    <row r="604" spans="11:14" ht="15.75" customHeight="1" x14ac:dyDescent="0.3">
      <c r="K604" s="8"/>
      <c r="L604" s="8"/>
      <c r="M604" s="8"/>
      <c r="N604" s="8"/>
    </row>
    <row r="605" spans="11:14" ht="15.75" customHeight="1" x14ac:dyDescent="0.3">
      <c r="K605" s="8"/>
      <c r="L605" s="8"/>
      <c r="M605" s="8"/>
      <c r="N605" s="8"/>
    </row>
    <row r="606" spans="11:14" ht="15.75" customHeight="1" x14ac:dyDescent="0.3">
      <c r="K606" s="8"/>
      <c r="L606" s="8"/>
      <c r="M606" s="8"/>
      <c r="N606" s="8"/>
    </row>
    <row r="607" spans="11:14" ht="15.75" customHeight="1" x14ac:dyDescent="0.3">
      <c r="K607" s="8"/>
      <c r="L607" s="8"/>
      <c r="M607" s="8"/>
      <c r="N607" s="8"/>
    </row>
    <row r="608" spans="11:14" ht="15.75" customHeight="1" x14ac:dyDescent="0.3">
      <c r="K608" s="8"/>
      <c r="L608" s="8"/>
      <c r="M608" s="8"/>
      <c r="N608" s="8"/>
    </row>
    <row r="609" spans="11:14" ht="15.75" customHeight="1" x14ac:dyDescent="0.3">
      <c r="K609" s="8"/>
      <c r="L609" s="8"/>
      <c r="M609" s="8"/>
      <c r="N609" s="8"/>
    </row>
    <row r="610" spans="11:14" ht="15.75" customHeight="1" x14ac:dyDescent="0.3">
      <c r="K610" s="8"/>
      <c r="L610" s="8"/>
      <c r="M610" s="8"/>
      <c r="N610" s="8"/>
    </row>
    <row r="611" spans="11:14" ht="15.75" customHeight="1" x14ac:dyDescent="0.3">
      <c r="K611" s="8"/>
      <c r="L611" s="8"/>
      <c r="M611" s="8"/>
      <c r="N611" s="8"/>
    </row>
    <row r="612" spans="11:14" ht="15.75" customHeight="1" x14ac:dyDescent="0.3">
      <c r="K612" s="8"/>
      <c r="L612" s="8"/>
      <c r="M612" s="8"/>
      <c r="N612" s="8"/>
    </row>
    <row r="613" spans="11:14" ht="15.75" customHeight="1" x14ac:dyDescent="0.3">
      <c r="K613" s="8"/>
      <c r="L613" s="8"/>
      <c r="M613" s="8"/>
      <c r="N613" s="8"/>
    </row>
    <row r="614" spans="11:14" ht="15.75" customHeight="1" x14ac:dyDescent="0.3">
      <c r="K614" s="8"/>
      <c r="L614" s="8"/>
      <c r="M614" s="8"/>
      <c r="N614" s="8"/>
    </row>
    <row r="615" spans="11:14" ht="15.75" customHeight="1" x14ac:dyDescent="0.3">
      <c r="K615" s="8"/>
      <c r="L615" s="8"/>
      <c r="M615" s="8"/>
      <c r="N615" s="8"/>
    </row>
    <row r="616" spans="11:14" ht="15.75" customHeight="1" x14ac:dyDescent="0.3">
      <c r="K616" s="8"/>
      <c r="L616" s="8"/>
      <c r="M616" s="8"/>
      <c r="N616" s="8"/>
    </row>
    <row r="617" spans="11:14" ht="15.75" customHeight="1" x14ac:dyDescent="0.3">
      <c r="K617" s="8"/>
      <c r="L617" s="8"/>
      <c r="M617" s="8"/>
      <c r="N617" s="8"/>
    </row>
    <row r="618" spans="11:14" ht="15.75" customHeight="1" x14ac:dyDescent="0.3">
      <c r="K618" s="8"/>
      <c r="L618" s="8"/>
      <c r="M618" s="8"/>
      <c r="N618" s="8"/>
    </row>
    <row r="619" spans="11:14" ht="15.75" customHeight="1" x14ac:dyDescent="0.3">
      <c r="K619" s="8"/>
      <c r="L619" s="8"/>
      <c r="M619" s="8"/>
      <c r="N619" s="8"/>
    </row>
    <row r="620" spans="11:14" ht="15.75" customHeight="1" x14ac:dyDescent="0.3">
      <c r="K620" s="8"/>
      <c r="L620" s="8"/>
      <c r="M620" s="8"/>
      <c r="N620" s="8"/>
    </row>
    <row r="621" spans="11:14" ht="15.75" customHeight="1" x14ac:dyDescent="0.3">
      <c r="K621" s="8"/>
      <c r="L621" s="8"/>
      <c r="M621" s="8"/>
      <c r="N621" s="8"/>
    </row>
    <row r="622" spans="11:14" ht="15.75" customHeight="1" x14ac:dyDescent="0.3">
      <c r="K622" s="8"/>
      <c r="L622" s="8"/>
      <c r="M622" s="8"/>
      <c r="N622" s="8"/>
    </row>
    <row r="623" spans="11:14" ht="15.75" customHeight="1" x14ac:dyDescent="0.3">
      <c r="K623" s="8"/>
      <c r="L623" s="8"/>
      <c r="M623" s="8"/>
      <c r="N623" s="8"/>
    </row>
    <row r="624" spans="11:14" ht="15.75" customHeight="1" x14ac:dyDescent="0.3">
      <c r="K624" s="8"/>
      <c r="L624" s="8"/>
      <c r="M624" s="8"/>
      <c r="N624" s="8"/>
    </row>
    <row r="625" spans="11:14" ht="15.75" customHeight="1" x14ac:dyDescent="0.3">
      <c r="K625" s="8"/>
      <c r="L625" s="8"/>
      <c r="M625" s="8"/>
      <c r="N625" s="8"/>
    </row>
    <row r="626" spans="11:14" ht="15.75" customHeight="1" x14ac:dyDescent="0.3">
      <c r="K626" s="8"/>
      <c r="L626" s="8"/>
      <c r="M626" s="8"/>
      <c r="N626" s="8"/>
    </row>
    <row r="627" spans="11:14" ht="15.75" customHeight="1" x14ac:dyDescent="0.3">
      <c r="K627" s="8"/>
      <c r="L627" s="8"/>
      <c r="M627" s="8"/>
      <c r="N627" s="8"/>
    </row>
    <row r="628" spans="11:14" ht="15.75" customHeight="1" x14ac:dyDescent="0.3">
      <c r="K628" s="8"/>
      <c r="L628" s="8"/>
      <c r="M628" s="8"/>
      <c r="N628" s="8"/>
    </row>
    <row r="629" spans="11:14" ht="15.75" customHeight="1" x14ac:dyDescent="0.3">
      <c r="K629" s="8"/>
      <c r="L629" s="8"/>
      <c r="M629" s="8"/>
      <c r="N629" s="8"/>
    </row>
    <row r="630" spans="11:14" ht="15.75" customHeight="1" x14ac:dyDescent="0.3">
      <c r="K630" s="8"/>
      <c r="L630" s="8"/>
      <c r="M630" s="8"/>
      <c r="N630" s="8"/>
    </row>
    <row r="631" spans="11:14" ht="15.75" customHeight="1" x14ac:dyDescent="0.3">
      <c r="K631" s="8"/>
      <c r="L631" s="8"/>
      <c r="M631" s="8"/>
      <c r="N631" s="8"/>
    </row>
    <row r="632" spans="11:14" ht="15.75" customHeight="1" x14ac:dyDescent="0.3">
      <c r="K632" s="8"/>
      <c r="L632" s="8"/>
      <c r="M632" s="8"/>
      <c r="N632" s="8"/>
    </row>
    <row r="633" spans="11:14" ht="15.75" customHeight="1" x14ac:dyDescent="0.3">
      <c r="K633" s="8"/>
      <c r="L633" s="8"/>
      <c r="M633" s="8"/>
      <c r="N633" s="8"/>
    </row>
    <row r="634" spans="11:14" ht="15.75" customHeight="1" x14ac:dyDescent="0.3">
      <c r="K634" s="8"/>
      <c r="L634" s="8"/>
      <c r="M634" s="8"/>
      <c r="N634" s="8"/>
    </row>
    <row r="635" spans="11:14" ht="15.75" customHeight="1" x14ac:dyDescent="0.3">
      <c r="K635" s="8"/>
      <c r="L635" s="8"/>
      <c r="M635" s="8"/>
      <c r="N635" s="8"/>
    </row>
    <row r="636" spans="11:14" ht="15.75" customHeight="1" x14ac:dyDescent="0.3">
      <c r="K636" s="8"/>
      <c r="L636" s="8"/>
      <c r="M636" s="8"/>
      <c r="N636" s="8"/>
    </row>
    <row r="637" spans="11:14" ht="15.75" customHeight="1" x14ac:dyDescent="0.3">
      <c r="K637" s="8"/>
      <c r="L637" s="8"/>
      <c r="M637" s="8"/>
      <c r="N637" s="8"/>
    </row>
    <row r="638" spans="11:14" ht="15.75" customHeight="1" x14ac:dyDescent="0.3">
      <c r="K638" s="8"/>
      <c r="L638" s="8"/>
      <c r="M638" s="8"/>
      <c r="N638" s="8"/>
    </row>
    <row r="639" spans="11:14" ht="15.75" customHeight="1" x14ac:dyDescent="0.3">
      <c r="K639" s="8"/>
      <c r="L639" s="8"/>
      <c r="M639" s="8"/>
      <c r="N639" s="8"/>
    </row>
    <row r="640" spans="11:14" ht="15.75" customHeight="1" x14ac:dyDescent="0.3">
      <c r="K640" s="8"/>
      <c r="L640" s="8"/>
      <c r="M640" s="8"/>
      <c r="N640" s="8"/>
    </row>
    <row r="641" spans="11:14" ht="15.75" customHeight="1" x14ac:dyDescent="0.3">
      <c r="K641" s="8"/>
      <c r="L641" s="8"/>
      <c r="M641" s="8"/>
      <c r="N641" s="8"/>
    </row>
    <row r="642" spans="11:14" ht="15.75" customHeight="1" x14ac:dyDescent="0.3">
      <c r="K642" s="8"/>
      <c r="L642" s="8"/>
      <c r="M642" s="8"/>
      <c r="N642" s="8"/>
    </row>
    <row r="643" spans="11:14" ht="15.75" customHeight="1" x14ac:dyDescent="0.3">
      <c r="K643" s="8"/>
      <c r="L643" s="8"/>
      <c r="M643" s="8"/>
      <c r="N643" s="8"/>
    </row>
    <row r="644" spans="11:14" ht="15.75" customHeight="1" x14ac:dyDescent="0.3">
      <c r="K644" s="8"/>
      <c r="L644" s="8"/>
      <c r="M644" s="8"/>
      <c r="N644" s="8"/>
    </row>
    <row r="645" spans="11:14" ht="15.75" customHeight="1" x14ac:dyDescent="0.3">
      <c r="K645" s="8"/>
      <c r="L645" s="8"/>
      <c r="M645" s="8"/>
      <c r="N645" s="8"/>
    </row>
    <row r="646" spans="11:14" ht="15.75" customHeight="1" x14ac:dyDescent="0.3">
      <c r="K646" s="8"/>
      <c r="L646" s="8"/>
      <c r="M646" s="8"/>
      <c r="N646" s="8"/>
    </row>
    <row r="647" spans="11:14" ht="15.75" customHeight="1" x14ac:dyDescent="0.3">
      <c r="K647" s="8"/>
      <c r="L647" s="8"/>
      <c r="M647" s="8"/>
      <c r="N647" s="8"/>
    </row>
    <row r="648" spans="11:14" ht="15.75" customHeight="1" x14ac:dyDescent="0.3">
      <c r="K648" s="8"/>
      <c r="L648" s="8"/>
      <c r="M648" s="8"/>
      <c r="N648" s="8"/>
    </row>
    <row r="649" spans="11:14" ht="15.75" customHeight="1" x14ac:dyDescent="0.3">
      <c r="K649" s="8"/>
      <c r="L649" s="8"/>
      <c r="M649" s="8"/>
      <c r="N649" s="8"/>
    </row>
    <row r="650" spans="11:14" ht="15.75" customHeight="1" x14ac:dyDescent="0.3">
      <c r="K650" s="8"/>
      <c r="L650" s="8"/>
      <c r="M650" s="8"/>
      <c r="N650" s="8"/>
    </row>
    <row r="651" spans="11:14" ht="15.75" customHeight="1" x14ac:dyDescent="0.3">
      <c r="K651" s="8"/>
      <c r="L651" s="8"/>
      <c r="M651" s="8"/>
      <c r="N651" s="8"/>
    </row>
    <row r="652" spans="11:14" ht="15.75" customHeight="1" x14ac:dyDescent="0.3">
      <c r="K652" s="8"/>
      <c r="L652" s="8"/>
      <c r="M652" s="8"/>
      <c r="N652" s="8"/>
    </row>
    <row r="653" spans="11:14" ht="15.75" customHeight="1" x14ac:dyDescent="0.3">
      <c r="K653" s="8"/>
      <c r="L653" s="8"/>
      <c r="M653" s="8"/>
      <c r="N653" s="8"/>
    </row>
    <row r="654" spans="11:14" ht="15.75" customHeight="1" x14ac:dyDescent="0.3">
      <c r="K654" s="8"/>
      <c r="L654" s="8"/>
      <c r="M654" s="8"/>
      <c r="N654" s="8"/>
    </row>
    <row r="655" spans="11:14" ht="15.75" customHeight="1" x14ac:dyDescent="0.3">
      <c r="K655" s="8"/>
      <c r="L655" s="8"/>
      <c r="M655" s="8"/>
      <c r="N655" s="8"/>
    </row>
    <row r="656" spans="11:14" ht="15.75" customHeight="1" x14ac:dyDescent="0.3">
      <c r="K656" s="8"/>
      <c r="L656" s="8"/>
      <c r="M656" s="8"/>
      <c r="N656" s="8"/>
    </row>
    <row r="657" spans="11:14" ht="15.75" customHeight="1" x14ac:dyDescent="0.3">
      <c r="K657" s="8"/>
      <c r="L657" s="8"/>
      <c r="M657" s="8"/>
      <c r="N657" s="8"/>
    </row>
    <row r="658" spans="11:14" ht="15.75" customHeight="1" x14ac:dyDescent="0.3">
      <c r="K658" s="8"/>
      <c r="L658" s="8"/>
      <c r="M658" s="8"/>
      <c r="N658" s="8"/>
    </row>
    <row r="659" spans="11:14" ht="15.75" customHeight="1" x14ac:dyDescent="0.3">
      <c r="K659" s="8"/>
      <c r="L659" s="8"/>
      <c r="M659" s="8"/>
      <c r="N659" s="8"/>
    </row>
    <row r="660" spans="11:14" ht="15.75" customHeight="1" x14ac:dyDescent="0.3">
      <c r="K660" s="8"/>
      <c r="L660" s="8"/>
      <c r="M660" s="8"/>
      <c r="N660" s="8"/>
    </row>
    <row r="661" spans="11:14" ht="15.75" customHeight="1" x14ac:dyDescent="0.3">
      <c r="K661" s="8"/>
      <c r="L661" s="8"/>
      <c r="M661" s="8"/>
      <c r="N661" s="8"/>
    </row>
    <row r="662" spans="11:14" ht="15.75" customHeight="1" x14ac:dyDescent="0.3">
      <c r="K662" s="8"/>
      <c r="L662" s="8"/>
      <c r="M662" s="8"/>
      <c r="N662" s="8"/>
    </row>
    <row r="663" spans="11:14" ht="15.75" customHeight="1" x14ac:dyDescent="0.3">
      <c r="K663" s="8"/>
      <c r="L663" s="8"/>
      <c r="M663" s="8"/>
      <c r="N663" s="8"/>
    </row>
    <row r="664" spans="11:14" ht="15.75" customHeight="1" x14ac:dyDescent="0.3">
      <c r="K664" s="8"/>
      <c r="L664" s="8"/>
      <c r="M664" s="8"/>
      <c r="N664" s="8"/>
    </row>
    <row r="665" spans="11:14" ht="15.75" customHeight="1" x14ac:dyDescent="0.3">
      <c r="K665" s="8"/>
      <c r="L665" s="8"/>
      <c r="M665" s="8"/>
      <c r="N665" s="8"/>
    </row>
    <row r="666" spans="11:14" ht="15.75" customHeight="1" x14ac:dyDescent="0.3">
      <c r="K666" s="8"/>
      <c r="L666" s="8"/>
      <c r="M666" s="8"/>
      <c r="N666" s="8"/>
    </row>
    <row r="667" spans="11:14" ht="15.75" customHeight="1" x14ac:dyDescent="0.3">
      <c r="K667" s="8"/>
      <c r="L667" s="8"/>
      <c r="M667" s="8"/>
      <c r="N667" s="8"/>
    </row>
    <row r="668" spans="11:14" ht="15.75" customHeight="1" x14ac:dyDescent="0.3">
      <c r="K668" s="8"/>
      <c r="L668" s="8"/>
      <c r="M668" s="8"/>
      <c r="N668" s="8"/>
    </row>
    <row r="669" spans="11:14" ht="15.75" customHeight="1" x14ac:dyDescent="0.3">
      <c r="K669" s="8"/>
      <c r="L669" s="8"/>
      <c r="M669" s="8"/>
      <c r="N669" s="8"/>
    </row>
    <row r="670" spans="11:14" ht="15.75" customHeight="1" x14ac:dyDescent="0.3">
      <c r="K670" s="8"/>
      <c r="L670" s="8"/>
      <c r="M670" s="8"/>
      <c r="N670" s="8"/>
    </row>
    <row r="671" spans="11:14" ht="15.75" customHeight="1" x14ac:dyDescent="0.3">
      <c r="K671" s="8"/>
      <c r="L671" s="8"/>
      <c r="M671" s="8"/>
      <c r="N671" s="8"/>
    </row>
    <row r="672" spans="11:14" ht="15.75" customHeight="1" x14ac:dyDescent="0.3">
      <c r="K672" s="8"/>
      <c r="L672" s="8"/>
      <c r="M672" s="8"/>
      <c r="N672" s="8"/>
    </row>
    <row r="673" spans="11:14" ht="15.75" customHeight="1" x14ac:dyDescent="0.3">
      <c r="K673" s="8"/>
      <c r="L673" s="8"/>
      <c r="M673" s="8"/>
      <c r="N673" s="8"/>
    </row>
    <row r="674" spans="11:14" ht="15.75" customHeight="1" x14ac:dyDescent="0.3">
      <c r="K674" s="8"/>
      <c r="L674" s="8"/>
      <c r="M674" s="8"/>
      <c r="N674" s="8"/>
    </row>
    <row r="675" spans="11:14" ht="15.75" customHeight="1" x14ac:dyDescent="0.3">
      <c r="K675" s="8"/>
      <c r="L675" s="8"/>
      <c r="M675" s="8"/>
      <c r="N675" s="8"/>
    </row>
    <row r="676" spans="11:14" ht="15.75" customHeight="1" x14ac:dyDescent="0.3">
      <c r="K676" s="8"/>
      <c r="L676" s="8"/>
      <c r="M676" s="8"/>
      <c r="N676" s="8"/>
    </row>
    <row r="677" spans="11:14" ht="15.75" customHeight="1" x14ac:dyDescent="0.3">
      <c r="K677" s="8"/>
      <c r="L677" s="8"/>
      <c r="M677" s="8"/>
      <c r="N677" s="8"/>
    </row>
    <row r="678" spans="11:14" ht="15.75" customHeight="1" x14ac:dyDescent="0.3">
      <c r="K678" s="8"/>
      <c r="L678" s="8"/>
      <c r="M678" s="8"/>
      <c r="N678" s="8"/>
    </row>
    <row r="679" spans="11:14" ht="15.75" customHeight="1" x14ac:dyDescent="0.3">
      <c r="K679" s="8"/>
      <c r="L679" s="8"/>
      <c r="M679" s="8"/>
      <c r="N679" s="8"/>
    </row>
    <row r="680" spans="11:14" ht="15.75" customHeight="1" x14ac:dyDescent="0.3">
      <c r="K680" s="8"/>
      <c r="L680" s="8"/>
      <c r="M680" s="8"/>
      <c r="N680" s="8"/>
    </row>
    <row r="681" spans="11:14" ht="15.75" customHeight="1" x14ac:dyDescent="0.3">
      <c r="K681" s="8"/>
      <c r="L681" s="8"/>
      <c r="M681" s="8"/>
      <c r="N681" s="8"/>
    </row>
    <row r="682" spans="11:14" ht="15.75" customHeight="1" x14ac:dyDescent="0.3">
      <c r="K682" s="8"/>
      <c r="L682" s="8"/>
      <c r="M682" s="8"/>
      <c r="N682" s="8"/>
    </row>
    <row r="683" spans="11:14" ht="15.75" customHeight="1" x14ac:dyDescent="0.3">
      <c r="K683" s="8"/>
      <c r="L683" s="8"/>
      <c r="M683" s="8"/>
      <c r="N683" s="8"/>
    </row>
    <row r="684" spans="11:14" ht="15.75" customHeight="1" x14ac:dyDescent="0.3">
      <c r="K684" s="8"/>
      <c r="L684" s="8"/>
      <c r="M684" s="8"/>
      <c r="N684" s="8"/>
    </row>
    <row r="685" spans="11:14" ht="15.75" customHeight="1" x14ac:dyDescent="0.3">
      <c r="K685" s="8"/>
      <c r="L685" s="8"/>
      <c r="M685" s="8"/>
      <c r="N685" s="8"/>
    </row>
    <row r="686" spans="11:14" ht="15.75" customHeight="1" x14ac:dyDescent="0.3">
      <c r="K686" s="8"/>
      <c r="L686" s="8"/>
      <c r="M686" s="8"/>
      <c r="N686" s="8"/>
    </row>
    <row r="687" spans="11:14" ht="15.75" customHeight="1" x14ac:dyDescent="0.3">
      <c r="K687" s="8"/>
      <c r="L687" s="8"/>
      <c r="M687" s="8"/>
      <c r="N687" s="8"/>
    </row>
    <row r="688" spans="11:14" ht="15.75" customHeight="1" x14ac:dyDescent="0.3">
      <c r="K688" s="8"/>
      <c r="L688" s="8"/>
      <c r="M688" s="8"/>
      <c r="N688" s="8"/>
    </row>
    <row r="689" spans="11:14" ht="15.75" customHeight="1" x14ac:dyDescent="0.3">
      <c r="K689" s="8"/>
      <c r="L689" s="8"/>
      <c r="M689" s="8"/>
      <c r="N689" s="8"/>
    </row>
    <row r="690" spans="11:14" ht="15.75" customHeight="1" x14ac:dyDescent="0.3">
      <c r="K690" s="8"/>
      <c r="L690" s="8"/>
      <c r="M690" s="8"/>
      <c r="N690" s="8"/>
    </row>
    <row r="691" spans="11:14" ht="15.75" customHeight="1" x14ac:dyDescent="0.3">
      <c r="K691" s="8"/>
      <c r="L691" s="8"/>
      <c r="M691" s="8"/>
      <c r="N691" s="8"/>
    </row>
    <row r="692" spans="11:14" ht="15.75" customHeight="1" x14ac:dyDescent="0.3">
      <c r="K692" s="8"/>
      <c r="L692" s="8"/>
      <c r="M692" s="8"/>
      <c r="N692" s="8"/>
    </row>
    <row r="693" spans="11:14" ht="15.75" customHeight="1" x14ac:dyDescent="0.3">
      <c r="K693" s="8"/>
      <c r="L693" s="8"/>
      <c r="M693" s="8"/>
      <c r="N693" s="8"/>
    </row>
    <row r="694" spans="11:14" ht="15.75" customHeight="1" x14ac:dyDescent="0.3">
      <c r="K694" s="8"/>
      <c r="L694" s="8"/>
      <c r="M694" s="8"/>
      <c r="N694" s="8"/>
    </row>
    <row r="695" spans="11:14" ht="15.75" customHeight="1" x14ac:dyDescent="0.3">
      <c r="K695" s="8"/>
      <c r="L695" s="8"/>
      <c r="M695" s="8"/>
      <c r="N695" s="8"/>
    </row>
    <row r="696" spans="11:14" ht="15.75" customHeight="1" x14ac:dyDescent="0.3">
      <c r="K696" s="8"/>
      <c r="L696" s="8"/>
      <c r="M696" s="8"/>
      <c r="N696" s="8"/>
    </row>
    <row r="697" spans="11:14" ht="15.75" customHeight="1" x14ac:dyDescent="0.3">
      <c r="K697" s="8"/>
      <c r="L697" s="8"/>
      <c r="M697" s="8"/>
      <c r="N697" s="8"/>
    </row>
    <row r="698" spans="11:14" ht="15.75" customHeight="1" x14ac:dyDescent="0.3">
      <c r="K698" s="8"/>
      <c r="L698" s="8"/>
      <c r="M698" s="8"/>
      <c r="N698" s="8"/>
    </row>
    <row r="699" spans="11:14" ht="15.75" customHeight="1" x14ac:dyDescent="0.3">
      <c r="K699" s="8"/>
      <c r="L699" s="8"/>
      <c r="M699" s="8"/>
      <c r="N699" s="8"/>
    </row>
    <row r="700" spans="11:14" ht="15.75" customHeight="1" x14ac:dyDescent="0.3">
      <c r="K700" s="8"/>
      <c r="L700" s="8"/>
      <c r="M700" s="8"/>
      <c r="N700" s="8"/>
    </row>
    <row r="701" spans="11:14" ht="15.75" customHeight="1" x14ac:dyDescent="0.3">
      <c r="K701" s="8"/>
      <c r="L701" s="8"/>
      <c r="M701" s="8"/>
      <c r="N701" s="8"/>
    </row>
    <row r="702" spans="11:14" ht="15.75" customHeight="1" x14ac:dyDescent="0.3">
      <c r="K702" s="8"/>
      <c r="L702" s="8"/>
      <c r="M702" s="8"/>
      <c r="N702" s="8"/>
    </row>
    <row r="703" spans="11:14" ht="15.75" customHeight="1" x14ac:dyDescent="0.3">
      <c r="K703" s="8"/>
      <c r="L703" s="8"/>
      <c r="M703" s="8"/>
      <c r="N703" s="8"/>
    </row>
    <row r="704" spans="11:14" ht="15.75" customHeight="1" x14ac:dyDescent="0.3">
      <c r="K704" s="8"/>
      <c r="L704" s="8"/>
      <c r="M704" s="8"/>
      <c r="N704" s="8"/>
    </row>
    <row r="705" spans="11:14" ht="15.75" customHeight="1" x14ac:dyDescent="0.3">
      <c r="K705" s="8"/>
      <c r="L705" s="8"/>
      <c r="M705" s="8"/>
      <c r="N705" s="8"/>
    </row>
    <row r="706" spans="11:14" ht="15.75" customHeight="1" x14ac:dyDescent="0.3">
      <c r="K706" s="8"/>
      <c r="L706" s="8"/>
      <c r="M706" s="8"/>
      <c r="N706" s="8"/>
    </row>
    <row r="707" spans="11:14" ht="15.75" customHeight="1" x14ac:dyDescent="0.3">
      <c r="K707" s="8"/>
      <c r="L707" s="8"/>
      <c r="M707" s="8"/>
      <c r="N707" s="8"/>
    </row>
    <row r="708" spans="11:14" ht="15.75" customHeight="1" x14ac:dyDescent="0.3">
      <c r="K708" s="8"/>
      <c r="L708" s="8"/>
      <c r="M708" s="8"/>
      <c r="N708" s="8"/>
    </row>
    <row r="709" spans="11:14" ht="15.75" customHeight="1" x14ac:dyDescent="0.3">
      <c r="K709" s="8"/>
      <c r="L709" s="8"/>
      <c r="M709" s="8"/>
      <c r="N709" s="8"/>
    </row>
    <row r="710" spans="11:14" ht="15.75" customHeight="1" x14ac:dyDescent="0.3">
      <c r="K710" s="8"/>
      <c r="L710" s="8"/>
      <c r="M710" s="8"/>
      <c r="N710" s="8"/>
    </row>
    <row r="711" spans="11:14" ht="15.75" customHeight="1" x14ac:dyDescent="0.3">
      <c r="K711" s="8"/>
      <c r="L711" s="8"/>
      <c r="M711" s="8"/>
      <c r="N711" s="8"/>
    </row>
    <row r="712" spans="11:14" ht="15.75" customHeight="1" x14ac:dyDescent="0.3">
      <c r="K712" s="8"/>
      <c r="L712" s="8"/>
      <c r="M712" s="8"/>
      <c r="N712" s="8"/>
    </row>
    <row r="713" spans="11:14" ht="15.75" customHeight="1" x14ac:dyDescent="0.3">
      <c r="K713" s="8"/>
      <c r="L713" s="8"/>
      <c r="M713" s="8"/>
      <c r="N713" s="8"/>
    </row>
    <row r="714" spans="11:14" ht="15.75" customHeight="1" x14ac:dyDescent="0.3">
      <c r="K714" s="8"/>
      <c r="L714" s="8"/>
      <c r="M714" s="8"/>
      <c r="N714" s="8"/>
    </row>
    <row r="715" spans="11:14" ht="15.75" customHeight="1" x14ac:dyDescent="0.3">
      <c r="K715" s="8"/>
      <c r="L715" s="8"/>
      <c r="M715" s="8"/>
      <c r="N715" s="8"/>
    </row>
    <row r="716" spans="11:14" ht="15.75" customHeight="1" x14ac:dyDescent="0.3">
      <c r="K716" s="8"/>
      <c r="L716" s="8"/>
      <c r="M716" s="8"/>
      <c r="N716" s="8"/>
    </row>
    <row r="717" spans="11:14" ht="15.75" customHeight="1" x14ac:dyDescent="0.3">
      <c r="K717" s="8"/>
      <c r="L717" s="8"/>
      <c r="M717" s="8"/>
      <c r="N717" s="8"/>
    </row>
    <row r="718" spans="11:14" ht="15.75" customHeight="1" x14ac:dyDescent="0.3">
      <c r="K718" s="8"/>
      <c r="L718" s="8"/>
      <c r="M718" s="8"/>
      <c r="N718" s="8"/>
    </row>
    <row r="719" spans="11:14" ht="15.75" customHeight="1" x14ac:dyDescent="0.3">
      <c r="K719" s="8"/>
      <c r="L719" s="8"/>
      <c r="M719" s="8"/>
      <c r="N719" s="8"/>
    </row>
    <row r="720" spans="11:14" ht="15.75" customHeight="1" x14ac:dyDescent="0.3">
      <c r="K720" s="8"/>
      <c r="L720" s="8"/>
      <c r="M720" s="8"/>
      <c r="N720" s="8"/>
    </row>
    <row r="721" spans="11:14" ht="15.75" customHeight="1" x14ac:dyDescent="0.3">
      <c r="K721" s="8"/>
      <c r="L721" s="8"/>
      <c r="M721" s="8"/>
      <c r="N721" s="8"/>
    </row>
    <row r="722" spans="11:14" ht="15.75" customHeight="1" x14ac:dyDescent="0.3">
      <c r="K722" s="8"/>
      <c r="L722" s="8"/>
      <c r="M722" s="8"/>
      <c r="N722" s="8"/>
    </row>
    <row r="723" spans="11:14" ht="15.75" customHeight="1" x14ac:dyDescent="0.3">
      <c r="K723" s="8"/>
      <c r="L723" s="8"/>
      <c r="M723" s="8"/>
      <c r="N723" s="8"/>
    </row>
    <row r="724" spans="11:14" ht="15.75" customHeight="1" x14ac:dyDescent="0.3">
      <c r="K724" s="8"/>
      <c r="L724" s="8"/>
      <c r="M724" s="8"/>
      <c r="N724" s="8"/>
    </row>
    <row r="725" spans="11:14" ht="15.75" customHeight="1" x14ac:dyDescent="0.3">
      <c r="K725" s="8"/>
      <c r="L725" s="8"/>
      <c r="M725" s="8"/>
      <c r="N725" s="8"/>
    </row>
    <row r="726" spans="11:14" ht="15.75" customHeight="1" x14ac:dyDescent="0.3">
      <c r="K726" s="8"/>
      <c r="L726" s="8"/>
      <c r="M726" s="8"/>
      <c r="N726" s="8"/>
    </row>
    <row r="727" spans="11:14" ht="15.75" customHeight="1" x14ac:dyDescent="0.3">
      <c r="K727" s="8"/>
      <c r="L727" s="8"/>
      <c r="M727" s="8"/>
      <c r="N727" s="8"/>
    </row>
    <row r="728" spans="11:14" ht="15.75" customHeight="1" x14ac:dyDescent="0.3">
      <c r="K728" s="8"/>
      <c r="L728" s="8"/>
      <c r="M728" s="8"/>
      <c r="N728" s="8"/>
    </row>
    <row r="729" spans="11:14" ht="15.75" customHeight="1" x14ac:dyDescent="0.3">
      <c r="K729" s="8"/>
      <c r="L729" s="8"/>
      <c r="M729" s="8"/>
      <c r="N729" s="8"/>
    </row>
    <row r="730" spans="11:14" ht="15.75" customHeight="1" x14ac:dyDescent="0.3">
      <c r="K730" s="8"/>
      <c r="L730" s="8"/>
      <c r="M730" s="8"/>
      <c r="N730" s="8"/>
    </row>
    <row r="731" spans="11:14" ht="15.75" customHeight="1" x14ac:dyDescent="0.3">
      <c r="K731" s="8"/>
      <c r="L731" s="8"/>
      <c r="M731" s="8"/>
      <c r="N731" s="8"/>
    </row>
    <row r="732" spans="11:14" ht="15.75" customHeight="1" x14ac:dyDescent="0.3">
      <c r="K732" s="8"/>
      <c r="L732" s="8"/>
      <c r="M732" s="8"/>
      <c r="N732" s="8"/>
    </row>
    <row r="733" spans="11:14" ht="15.75" customHeight="1" x14ac:dyDescent="0.3">
      <c r="K733" s="8"/>
      <c r="L733" s="8"/>
      <c r="M733" s="8"/>
      <c r="N733" s="8"/>
    </row>
    <row r="734" spans="11:14" ht="15.75" customHeight="1" x14ac:dyDescent="0.3">
      <c r="K734" s="8"/>
      <c r="L734" s="8"/>
      <c r="M734" s="8"/>
      <c r="N734" s="8"/>
    </row>
    <row r="735" spans="11:14" ht="15.75" customHeight="1" x14ac:dyDescent="0.3">
      <c r="K735" s="8"/>
      <c r="L735" s="8"/>
      <c r="M735" s="8"/>
      <c r="N735" s="8"/>
    </row>
    <row r="736" spans="11:14" ht="15.75" customHeight="1" x14ac:dyDescent="0.3">
      <c r="K736" s="8"/>
      <c r="L736" s="8"/>
      <c r="M736" s="8"/>
      <c r="N736" s="8"/>
    </row>
    <row r="737" spans="11:14" ht="15.75" customHeight="1" x14ac:dyDescent="0.3">
      <c r="K737" s="8"/>
      <c r="L737" s="8"/>
      <c r="M737" s="8"/>
      <c r="N737" s="8"/>
    </row>
    <row r="738" spans="11:14" ht="15.75" customHeight="1" x14ac:dyDescent="0.3">
      <c r="K738" s="8"/>
      <c r="L738" s="8"/>
      <c r="M738" s="8"/>
      <c r="N738" s="8"/>
    </row>
    <row r="739" spans="11:14" ht="15.75" customHeight="1" x14ac:dyDescent="0.3">
      <c r="K739" s="8"/>
      <c r="L739" s="8"/>
      <c r="M739" s="8"/>
      <c r="N739" s="8"/>
    </row>
    <row r="740" spans="11:14" ht="15.75" customHeight="1" x14ac:dyDescent="0.3">
      <c r="K740" s="8"/>
      <c r="L740" s="8"/>
      <c r="M740" s="8"/>
      <c r="N740" s="8"/>
    </row>
    <row r="741" spans="11:14" ht="15.75" customHeight="1" x14ac:dyDescent="0.3">
      <c r="K741" s="8"/>
      <c r="L741" s="8"/>
      <c r="M741" s="8"/>
      <c r="N741" s="8"/>
    </row>
    <row r="742" spans="11:14" ht="15.75" customHeight="1" x14ac:dyDescent="0.3">
      <c r="K742" s="8"/>
      <c r="L742" s="8"/>
      <c r="M742" s="8"/>
      <c r="N742" s="8"/>
    </row>
    <row r="743" spans="11:14" ht="15.75" customHeight="1" x14ac:dyDescent="0.3">
      <c r="K743" s="8"/>
      <c r="L743" s="8"/>
      <c r="M743" s="8"/>
      <c r="N743" s="8"/>
    </row>
    <row r="744" spans="11:14" ht="15.75" customHeight="1" x14ac:dyDescent="0.3">
      <c r="K744" s="8"/>
      <c r="L744" s="8"/>
      <c r="M744" s="8"/>
      <c r="N744" s="8"/>
    </row>
    <row r="745" spans="11:14" ht="15.75" customHeight="1" x14ac:dyDescent="0.3">
      <c r="K745" s="8"/>
      <c r="L745" s="8"/>
      <c r="M745" s="8"/>
      <c r="N745" s="8"/>
    </row>
    <row r="746" spans="11:14" ht="15.75" customHeight="1" x14ac:dyDescent="0.3">
      <c r="K746" s="8"/>
      <c r="L746" s="8"/>
      <c r="M746" s="8"/>
      <c r="N746" s="8"/>
    </row>
    <row r="747" spans="11:14" ht="15.75" customHeight="1" x14ac:dyDescent="0.3">
      <c r="K747" s="8"/>
      <c r="L747" s="8"/>
      <c r="M747" s="8"/>
      <c r="N747" s="8"/>
    </row>
    <row r="748" spans="11:14" ht="15.75" customHeight="1" x14ac:dyDescent="0.3">
      <c r="K748" s="8"/>
      <c r="L748" s="8"/>
      <c r="M748" s="8"/>
      <c r="N748" s="8"/>
    </row>
    <row r="749" spans="11:14" ht="15.75" customHeight="1" x14ac:dyDescent="0.3">
      <c r="K749" s="8"/>
      <c r="L749" s="8"/>
      <c r="M749" s="8"/>
      <c r="N749" s="8"/>
    </row>
    <row r="750" spans="11:14" ht="15.75" customHeight="1" x14ac:dyDescent="0.3">
      <c r="K750" s="8"/>
      <c r="L750" s="8"/>
      <c r="M750" s="8"/>
      <c r="N750" s="8"/>
    </row>
    <row r="751" spans="11:14" ht="15.75" customHeight="1" x14ac:dyDescent="0.3">
      <c r="K751" s="8"/>
      <c r="L751" s="8"/>
      <c r="M751" s="8"/>
      <c r="N751" s="8"/>
    </row>
    <row r="752" spans="11:14" ht="15.75" customHeight="1" x14ac:dyDescent="0.3">
      <c r="K752" s="8"/>
      <c r="L752" s="8"/>
      <c r="M752" s="8"/>
      <c r="N752" s="8"/>
    </row>
    <row r="753" spans="11:14" ht="15.75" customHeight="1" x14ac:dyDescent="0.3">
      <c r="K753" s="8"/>
      <c r="L753" s="8"/>
      <c r="M753" s="8"/>
      <c r="N753" s="8"/>
    </row>
    <row r="754" spans="11:14" ht="15.75" customHeight="1" x14ac:dyDescent="0.3">
      <c r="K754" s="8"/>
      <c r="L754" s="8"/>
      <c r="M754" s="8"/>
      <c r="N754" s="8"/>
    </row>
    <row r="755" spans="11:14" ht="15.75" customHeight="1" x14ac:dyDescent="0.3">
      <c r="K755" s="8"/>
      <c r="L755" s="8"/>
      <c r="M755" s="8"/>
      <c r="N755" s="8"/>
    </row>
    <row r="756" spans="11:14" ht="15.75" customHeight="1" x14ac:dyDescent="0.3">
      <c r="K756" s="8"/>
      <c r="L756" s="8"/>
      <c r="M756" s="8"/>
      <c r="N756" s="8"/>
    </row>
    <row r="757" spans="11:14" ht="15.75" customHeight="1" x14ac:dyDescent="0.3">
      <c r="K757" s="8"/>
      <c r="L757" s="8"/>
      <c r="M757" s="8"/>
      <c r="N757" s="8"/>
    </row>
    <row r="758" spans="11:14" ht="15.75" customHeight="1" x14ac:dyDescent="0.3">
      <c r="K758" s="8"/>
      <c r="L758" s="8"/>
      <c r="M758" s="8"/>
      <c r="N758" s="8"/>
    </row>
    <row r="759" spans="11:14" ht="15.75" customHeight="1" x14ac:dyDescent="0.3">
      <c r="K759" s="8"/>
      <c r="L759" s="8"/>
      <c r="M759" s="8"/>
      <c r="N759" s="8"/>
    </row>
    <row r="760" spans="11:14" ht="15.75" customHeight="1" x14ac:dyDescent="0.3">
      <c r="K760" s="8"/>
      <c r="L760" s="8"/>
      <c r="M760" s="8"/>
      <c r="N760" s="8"/>
    </row>
    <row r="761" spans="11:14" ht="15.75" customHeight="1" x14ac:dyDescent="0.3">
      <c r="K761" s="8"/>
      <c r="L761" s="8"/>
      <c r="M761" s="8"/>
      <c r="N761" s="8"/>
    </row>
    <row r="762" spans="11:14" ht="15.75" customHeight="1" x14ac:dyDescent="0.3">
      <c r="K762" s="8"/>
      <c r="L762" s="8"/>
      <c r="M762" s="8"/>
      <c r="N762" s="8"/>
    </row>
    <row r="763" spans="11:14" ht="15.75" customHeight="1" x14ac:dyDescent="0.3">
      <c r="K763" s="8"/>
      <c r="L763" s="8"/>
      <c r="M763" s="8"/>
      <c r="N763" s="8"/>
    </row>
    <row r="764" spans="11:14" ht="15.75" customHeight="1" x14ac:dyDescent="0.3">
      <c r="K764" s="8"/>
      <c r="L764" s="8"/>
      <c r="M764" s="8"/>
      <c r="N764" s="8"/>
    </row>
    <row r="765" spans="11:14" ht="15.75" customHeight="1" x14ac:dyDescent="0.3">
      <c r="K765" s="8"/>
      <c r="L765" s="8"/>
      <c r="M765" s="8"/>
      <c r="N765" s="8"/>
    </row>
    <row r="766" spans="11:14" ht="15.75" customHeight="1" x14ac:dyDescent="0.3">
      <c r="K766" s="8"/>
      <c r="L766" s="8"/>
      <c r="M766" s="8"/>
      <c r="N766" s="8"/>
    </row>
    <row r="767" spans="11:14" ht="15.75" customHeight="1" x14ac:dyDescent="0.3">
      <c r="K767" s="8"/>
      <c r="L767" s="8"/>
      <c r="M767" s="8"/>
      <c r="N767" s="8"/>
    </row>
    <row r="768" spans="11:14" ht="15.75" customHeight="1" x14ac:dyDescent="0.3">
      <c r="K768" s="8"/>
      <c r="L768" s="8"/>
      <c r="M768" s="8"/>
      <c r="N768" s="8"/>
    </row>
    <row r="769" spans="11:14" ht="15.75" customHeight="1" x14ac:dyDescent="0.3">
      <c r="K769" s="8"/>
      <c r="L769" s="8"/>
      <c r="M769" s="8"/>
      <c r="N769" s="8"/>
    </row>
    <row r="770" spans="11:14" ht="15.75" customHeight="1" x14ac:dyDescent="0.3">
      <c r="K770" s="8"/>
      <c r="L770" s="8"/>
      <c r="M770" s="8"/>
      <c r="N770" s="8"/>
    </row>
    <row r="771" spans="11:14" ht="15.75" customHeight="1" x14ac:dyDescent="0.3">
      <c r="K771" s="8"/>
      <c r="L771" s="8"/>
      <c r="M771" s="8"/>
      <c r="N771" s="8"/>
    </row>
    <row r="772" spans="11:14" ht="15.75" customHeight="1" x14ac:dyDescent="0.3">
      <c r="K772" s="8"/>
      <c r="L772" s="8"/>
      <c r="M772" s="8"/>
      <c r="N772" s="8"/>
    </row>
    <row r="773" spans="11:14" ht="15.75" customHeight="1" x14ac:dyDescent="0.3">
      <c r="K773" s="8"/>
      <c r="L773" s="8"/>
      <c r="M773" s="8"/>
      <c r="N773" s="8"/>
    </row>
    <row r="774" spans="11:14" ht="15.75" customHeight="1" x14ac:dyDescent="0.3">
      <c r="K774" s="8"/>
      <c r="L774" s="8"/>
      <c r="M774" s="8"/>
      <c r="N774" s="8"/>
    </row>
    <row r="775" spans="11:14" ht="15.75" customHeight="1" x14ac:dyDescent="0.3">
      <c r="K775" s="8"/>
      <c r="L775" s="8"/>
      <c r="M775" s="8"/>
      <c r="N775" s="8"/>
    </row>
    <row r="776" spans="11:14" ht="15.75" customHeight="1" x14ac:dyDescent="0.3">
      <c r="K776" s="8"/>
      <c r="L776" s="8"/>
      <c r="M776" s="8"/>
      <c r="N776" s="8"/>
    </row>
    <row r="777" spans="11:14" ht="15.75" customHeight="1" x14ac:dyDescent="0.3">
      <c r="K777" s="8"/>
      <c r="L777" s="8"/>
      <c r="M777" s="8"/>
      <c r="N777" s="8"/>
    </row>
    <row r="778" spans="11:14" ht="15.75" customHeight="1" x14ac:dyDescent="0.3">
      <c r="K778" s="8"/>
      <c r="L778" s="8"/>
      <c r="M778" s="8"/>
      <c r="N778" s="8"/>
    </row>
    <row r="779" spans="11:14" ht="15.75" customHeight="1" x14ac:dyDescent="0.3">
      <c r="K779" s="8"/>
      <c r="L779" s="8"/>
      <c r="M779" s="8"/>
      <c r="N779" s="8"/>
    </row>
    <row r="780" spans="11:14" ht="15.75" customHeight="1" x14ac:dyDescent="0.3">
      <c r="K780" s="8"/>
      <c r="L780" s="8"/>
      <c r="M780" s="8"/>
      <c r="N780" s="8"/>
    </row>
    <row r="781" spans="11:14" ht="15.75" customHeight="1" x14ac:dyDescent="0.3">
      <c r="K781" s="8"/>
      <c r="L781" s="8"/>
      <c r="M781" s="8"/>
      <c r="N781" s="8"/>
    </row>
    <row r="782" spans="11:14" ht="15.75" customHeight="1" x14ac:dyDescent="0.3">
      <c r="K782" s="8"/>
      <c r="L782" s="8"/>
      <c r="M782" s="8"/>
      <c r="N782" s="8"/>
    </row>
    <row r="783" spans="11:14" ht="15.75" customHeight="1" x14ac:dyDescent="0.3">
      <c r="K783" s="8"/>
      <c r="L783" s="8"/>
      <c r="M783" s="8"/>
      <c r="N783" s="8"/>
    </row>
    <row r="784" spans="11:14" ht="15.75" customHeight="1" x14ac:dyDescent="0.3">
      <c r="K784" s="8"/>
      <c r="L784" s="8"/>
      <c r="M784" s="8"/>
      <c r="N784" s="8"/>
    </row>
    <row r="785" spans="11:14" ht="15.75" customHeight="1" x14ac:dyDescent="0.3">
      <c r="K785" s="8"/>
      <c r="L785" s="8"/>
      <c r="M785" s="8"/>
      <c r="N785" s="8"/>
    </row>
    <row r="786" spans="11:14" ht="15.75" customHeight="1" x14ac:dyDescent="0.3">
      <c r="K786" s="8"/>
      <c r="L786" s="8"/>
      <c r="M786" s="8"/>
      <c r="N786" s="8"/>
    </row>
    <row r="787" spans="11:14" ht="15.75" customHeight="1" x14ac:dyDescent="0.3">
      <c r="K787" s="8"/>
      <c r="L787" s="8"/>
      <c r="M787" s="8"/>
      <c r="N787" s="8"/>
    </row>
    <row r="788" spans="11:14" ht="15.75" customHeight="1" x14ac:dyDescent="0.3">
      <c r="K788" s="8"/>
      <c r="L788" s="8"/>
      <c r="M788" s="8"/>
      <c r="N788" s="8"/>
    </row>
    <row r="789" spans="11:14" ht="15.75" customHeight="1" x14ac:dyDescent="0.3">
      <c r="K789" s="8"/>
      <c r="L789" s="8"/>
      <c r="M789" s="8"/>
      <c r="N789" s="8"/>
    </row>
    <row r="790" spans="11:14" ht="15.75" customHeight="1" x14ac:dyDescent="0.3">
      <c r="K790" s="8"/>
      <c r="L790" s="8"/>
      <c r="M790" s="8"/>
      <c r="N790" s="8"/>
    </row>
    <row r="791" spans="11:14" ht="15.75" customHeight="1" x14ac:dyDescent="0.3">
      <c r="K791" s="8"/>
      <c r="L791" s="8"/>
      <c r="M791" s="8"/>
      <c r="N791" s="8"/>
    </row>
    <row r="792" spans="11:14" ht="15.75" customHeight="1" x14ac:dyDescent="0.3">
      <c r="K792" s="8"/>
      <c r="L792" s="8"/>
      <c r="M792" s="8"/>
      <c r="N792" s="8"/>
    </row>
    <row r="793" spans="11:14" ht="15.75" customHeight="1" x14ac:dyDescent="0.3">
      <c r="K793" s="8"/>
      <c r="L793" s="8"/>
      <c r="M793" s="8"/>
      <c r="N793" s="8"/>
    </row>
    <row r="794" spans="11:14" ht="15.75" customHeight="1" x14ac:dyDescent="0.3">
      <c r="K794" s="8"/>
      <c r="L794" s="8"/>
      <c r="M794" s="8"/>
      <c r="N794" s="8"/>
    </row>
    <row r="795" spans="11:14" ht="15.75" customHeight="1" x14ac:dyDescent="0.3">
      <c r="K795" s="8"/>
      <c r="L795" s="8"/>
      <c r="M795" s="8"/>
      <c r="N795" s="8"/>
    </row>
    <row r="796" spans="11:14" ht="15.75" customHeight="1" x14ac:dyDescent="0.3">
      <c r="K796" s="8"/>
      <c r="L796" s="8"/>
      <c r="M796" s="8"/>
      <c r="N796" s="8"/>
    </row>
    <row r="797" spans="11:14" ht="15.75" customHeight="1" x14ac:dyDescent="0.3">
      <c r="K797" s="8"/>
      <c r="L797" s="8"/>
      <c r="M797" s="8"/>
      <c r="N797" s="8"/>
    </row>
    <row r="798" spans="11:14" ht="15.75" customHeight="1" x14ac:dyDescent="0.3">
      <c r="K798" s="8"/>
      <c r="L798" s="8"/>
      <c r="M798" s="8"/>
      <c r="N798" s="8"/>
    </row>
    <row r="799" spans="11:14" ht="15.75" customHeight="1" x14ac:dyDescent="0.3">
      <c r="K799" s="8"/>
      <c r="L799" s="8"/>
      <c r="M799" s="8"/>
      <c r="N799" s="8"/>
    </row>
    <row r="800" spans="11:14" ht="15.75" customHeight="1" x14ac:dyDescent="0.3">
      <c r="K800" s="8"/>
      <c r="L800" s="8"/>
      <c r="M800" s="8"/>
      <c r="N800" s="8"/>
    </row>
    <row r="801" spans="11:14" ht="15.75" customHeight="1" x14ac:dyDescent="0.3">
      <c r="K801" s="8"/>
      <c r="L801" s="8"/>
      <c r="M801" s="8"/>
      <c r="N801" s="8"/>
    </row>
    <row r="802" spans="11:14" ht="15.75" customHeight="1" x14ac:dyDescent="0.3">
      <c r="K802" s="8"/>
      <c r="L802" s="8"/>
      <c r="M802" s="8"/>
      <c r="N802" s="8"/>
    </row>
    <row r="803" spans="11:14" ht="15.75" customHeight="1" x14ac:dyDescent="0.3">
      <c r="K803" s="8"/>
      <c r="L803" s="8"/>
      <c r="M803" s="8"/>
      <c r="N803" s="8"/>
    </row>
    <row r="804" spans="11:14" ht="15.75" customHeight="1" x14ac:dyDescent="0.3">
      <c r="K804" s="8"/>
      <c r="L804" s="8"/>
      <c r="M804" s="8"/>
      <c r="N804" s="8"/>
    </row>
    <row r="805" spans="11:14" ht="15.75" customHeight="1" x14ac:dyDescent="0.3">
      <c r="K805" s="8"/>
      <c r="L805" s="8"/>
      <c r="M805" s="8"/>
      <c r="N805" s="8"/>
    </row>
    <row r="806" spans="11:14" ht="15.75" customHeight="1" x14ac:dyDescent="0.3">
      <c r="K806" s="8"/>
      <c r="L806" s="8"/>
      <c r="M806" s="8"/>
      <c r="N806" s="8"/>
    </row>
    <row r="807" spans="11:14" ht="15.75" customHeight="1" x14ac:dyDescent="0.3">
      <c r="K807" s="8"/>
      <c r="L807" s="8"/>
      <c r="M807" s="8"/>
      <c r="N807" s="8"/>
    </row>
    <row r="808" spans="11:14" ht="15.75" customHeight="1" x14ac:dyDescent="0.3">
      <c r="K808" s="8"/>
      <c r="L808" s="8"/>
      <c r="M808" s="8"/>
      <c r="N808" s="8"/>
    </row>
    <row r="809" spans="11:14" ht="15.75" customHeight="1" x14ac:dyDescent="0.3">
      <c r="K809" s="8"/>
      <c r="L809" s="8"/>
      <c r="M809" s="8"/>
      <c r="N809" s="8"/>
    </row>
    <row r="810" spans="11:14" ht="15.75" customHeight="1" x14ac:dyDescent="0.3">
      <c r="K810" s="8"/>
      <c r="L810" s="8"/>
      <c r="M810" s="8"/>
      <c r="N810" s="8"/>
    </row>
    <row r="811" spans="11:14" ht="15.75" customHeight="1" x14ac:dyDescent="0.3">
      <c r="K811" s="8"/>
      <c r="L811" s="8"/>
      <c r="M811" s="8"/>
      <c r="N811" s="8"/>
    </row>
    <row r="812" spans="11:14" ht="15.75" customHeight="1" x14ac:dyDescent="0.3">
      <c r="K812" s="8"/>
      <c r="L812" s="8"/>
      <c r="M812" s="8"/>
      <c r="N812" s="8"/>
    </row>
    <row r="813" spans="11:14" ht="15.75" customHeight="1" x14ac:dyDescent="0.3">
      <c r="K813" s="8"/>
      <c r="L813" s="8"/>
      <c r="M813" s="8"/>
      <c r="N813" s="8"/>
    </row>
    <row r="814" spans="11:14" ht="15.75" customHeight="1" x14ac:dyDescent="0.3">
      <c r="K814" s="8"/>
      <c r="L814" s="8"/>
      <c r="M814" s="8"/>
      <c r="N814" s="8"/>
    </row>
    <row r="815" spans="11:14" ht="15.75" customHeight="1" x14ac:dyDescent="0.3">
      <c r="K815" s="8"/>
      <c r="L815" s="8"/>
      <c r="M815" s="8"/>
      <c r="N815" s="8"/>
    </row>
    <row r="816" spans="11:14" ht="15.75" customHeight="1" x14ac:dyDescent="0.3">
      <c r="K816" s="8"/>
      <c r="L816" s="8"/>
      <c r="M816" s="8"/>
      <c r="N816" s="8"/>
    </row>
    <row r="817" spans="11:14" ht="15.75" customHeight="1" x14ac:dyDescent="0.3">
      <c r="K817" s="8"/>
      <c r="L817" s="8"/>
      <c r="M817" s="8"/>
      <c r="N817" s="8"/>
    </row>
    <row r="818" spans="11:14" ht="15.75" customHeight="1" x14ac:dyDescent="0.3">
      <c r="K818" s="8"/>
      <c r="L818" s="8"/>
      <c r="M818" s="8"/>
      <c r="N818" s="8"/>
    </row>
    <row r="819" spans="11:14" ht="15.75" customHeight="1" x14ac:dyDescent="0.3">
      <c r="K819" s="8"/>
      <c r="L819" s="8"/>
      <c r="M819" s="8"/>
      <c r="N819" s="8"/>
    </row>
    <row r="820" spans="11:14" ht="15.75" customHeight="1" x14ac:dyDescent="0.3">
      <c r="K820" s="8"/>
      <c r="L820" s="8"/>
      <c r="M820" s="8"/>
      <c r="N820" s="8"/>
    </row>
    <row r="821" spans="11:14" ht="15.75" customHeight="1" x14ac:dyDescent="0.3">
      <c r="K821" s="8"/>
      <c r="L821" s="8"/>
      <c r="M821" s="8"/>
      <c r="N821" s="8"/>
    </row>
    <row r="822" spans="11:14" ht="15.75" customHeight="1" x14ac:dyDescent="0.3">
      <c r="K822" s="8"/>
      <c r="L822" s="8"/>
      <c r="M822" s="8"/>
      <c r="N822" s="8"/>
    </row>
    <row r="823" spans="11:14" ht="15.75" customHeight="1" x14ac:dyDescent="0.3">
      <c r="K823" s="8"/>
      <c r="L823" s="8"/>
      <c r="M823" s="8"/>
      <c r="N823" s="8"/>
    </row>
    <row r="824" spans="11:14" ht="15.75" customHeight="1" x14ac:dyDescent="0.3">
      <c r="K824" s="8"/>
      <c r="L824" s="8"/>
      <c r="M824" s="8"/>
      <c r="N824" s="8"/>
    </row>
    <row r="825" spans="11:14" ht="15.75" customHeight="1" x14ac:dyDescent="0.3">
      <c r="K825" s="8"/>
      <c r="L825" s="8"/>
      <c r="M825" s="8"/>
      <c r="N825" s="8"/>
    </row>
    <row r="826" spans="11:14" ht="15.75" customHeight="1" x14ac:dyDescent="0.3">
      <c r="K826" s="8"/>
      <c r="L826" s="8"/>
      <c r="M826" s="8"/>
      <c r="N826" s="8"/>
    </row>
    <row r="827" spans="11:14" ht="15.75" customHeight="1" x14ac:dyDescent="0.3">
      <c r="K827" s="8"/>
      <c r="L827" s="8"/>
      <c r="M827" s="8"/>
      <c r="N827" s="8"/>
    </row>
    <row r="828" spans="11:14" ht="15.75" customHeight="1" x14ac:dyDescent="0.3">
      <c r="K828" s="8"/>
      <c r="L828" s="8"/>
      <c r="M828" s="8"/>
      <c r="N828" s="8"/>
    </row>
    <row r="829" spans="11:14" ht="15.75" customHeight="1" x14ac:dyDescent="0.3">
      <c r="K829" s="8"/>
      <c r="L829" s="8"/>
      <c r="M829" s="8"/>
      <c r="N829" s="8"/>
    </row>
    <row r="830" spans="11:14" ht="15.75" customHeight="1" x14ac:dyDescent="0.3">
      <c r="K830" s="8"/>
      <c r="L830" s="8"/>
      <c r="M830" s="8"/>
      <c r="N830" s="8"/>
    </row>
    <row r="831" spans="11:14" ht="15.75" customHeight="1" x14ac:dyDescent="0.3">
      <c r="K831" s="8"/>
      <c r="L831" s="8"/>
      <c r="M831" s="8"/>
      <c r="N831" s="8"/>
    </row>
    <row r="832" spans="11:14" ht="15.75" customHeight="1" x14ac:dyDescent="0.3">
      <c r="K832" s="8"/>
      <c r="L832" s="8"/>
      <c r="M832" s="8"/>
      <c r="N832" s="8"/>
    </row>
    <row r="833" spans="11:14" ht="15.75" customHeight="1" x14ac:dyDescent="0.3">
      <c r="K833" s="8"/>
      <c r="L833" s="8"/>
      <c r="M833" s="8"/>
      <c r="N833" s="8"/>
    </row>
    <row r="834" spans="11:14" ht="15.75" customHeight="1" x14ac:dyDescent="0.3">
      <c r="K834" s="8"/>
      <c r="L834" s="8"/>
      <c r="M834" s="8"/>
      <c r="N834" s="8"/>
    </row>
    <row r="835" spans="11:14" ht="15.75" customHeight="1" x14ac:dyDescent="0.3">
      <c r="K835" s="8"/>
      <c r="L835" s="8"/>
      <c r="M835" s="8"/>
      <c r="N835" s="8"/>
    </row>
    <row r="836" spans="11:14" ht="15.75" customHeight="1" x14ac:dyDescent="0.3">
      <c r="K836" s="8"/>
      <c r="L836" s="8"/>
      <c r="M836" s="8"/>
      <c r="N836" s="8"/>
    </row>
    <row r="837" spans="11:14" ht="15.75" customHeight="1" x14ac:dyDescent="0.3">
      <c r="K837" s="8"/>
      <c r="L837" s="8"/>
      <c r="M837" s="8"/>
      <c r="N837" s="8"/>
    </row>
    <row r="838" spans="11:14" ht="15.75" customHeight="1" x14ac:dyDescent="0.3">
      <c r="K838" s="8"/>
      <c r="L838" s="8"/>
      <c r="M838" s="8"/>
      <c r="N838" s="8"/>
    </row>
    <row r="839" spans="11:14" ht="15.75" customHeight="1" x14ac:dyDescent="0.3">
      <c r="K839" s="8"/>
      <c r="L839" s="8"/>
      <c r="M839" s="8"/>
      <c r="N839" s="8"/>
    </row>
    <row r="840" spans="11:14" ht="15.75" customHeight="1" x14ac:dyDescent="0.3">
      <c r="K840" s="8"/>
      <c r="L840" s="8"/>
      <c r="M840" s="8"/>
      <c r="N840" s="8"/>
    </row>
    <row r="841" spans="11:14" ht="15.75" customHeight="1" x14ac:dyDescent="0.3">
      <c r="K841" s="8"/>
      <c r="L841" s="8"/>
      <c r="M841" s="8"/>
      <c r="N841" s="8"/>
    </row>
    <row r="842" spans="11:14" ht="15.75" customHeight="1" x14ac:dyDescent="0.3">
      <c r="K842" s="8"/>
      <c r="L842" s="8"/>
      <c r="M842" s="8"/>
      <c r="N842" s="8"/>
    </row>
    <row r="843" spans="11:14" ht="15.75" customHeight="1" x14ac:dyDescent="0.3">
      <c r="K843" s="8"/>
      <c r="L843" s="8"/>
      <c r="M843" s="8"/>
      <c r="N843" s="8"/>
    </row>
    <row r="844" spans="11:14" ht="15.75" customHeight="1" x14ac:dyDescent="0.3">
      <c r="K844" s="8"/>
      <c r="L844" s="8"/>
      <c r="M844" s="8"/>
      <c r="N844" s="8"/>
    </row>
    <row r="845" spans="11:14" ht="15.75" customHeight="1" x14ac:dyDescent="0.3">
      <c r="K845" s="8"/>
      <c r="L845" s="8"/>
      <c r="M845" s="8"/>
      <c r="N845" s="8"/>
    </row>
    <row r="846" spans="11:14" ht="15.75" customHeight="1" x14ac:dyDescent="0.3">
      <c r="K846" s="8"/>
      <c r="L846" s="8"/>
      <c r="M846" s="8"/>
      <c r="N846" s="8"/>
    </row>
    <row r="847" spans="11:14" ht="15.75" customHeight="1" x14ac:dyDescent="0.3">
      <c r="K847" s="8"/>
      <c r="L847" s="8"/>
      <c r="M847" s="8"/>
      <c r="N847" s="8"/>
    </row>
    <row r="848" spans="11:14" ht="15.75" customHeight="1" x14ac:dyDescent="0.3">
      <c r="K848" s="8"/>
      <c r="L848" s="8"/>
      <c r="M848" s="8"/>
      <c r="N848" s="8"/>
    </row>
    <row r="849" spans="11:14" ht="15.75" customHeight="1" x14ac:dyDescent="0.3">
      <c r="K849" s="8"/>
      <c r="L849" s="8"/>
      <c r="M849" s="8"/>
      <c r="N849" s="8"/>
    </row>
    <row r="850" spans="11:14" ht="15.75" customHeight="1" x14ac:dyDescent="0.3">
      <c r="K850" s="8"/>
      <c r="L850" s="8"/>
      <c r="M850" s="8"/>
      <c r="N850" s="8"/>
    </row>
    <row r="851" spans="11:14" ht="15.75" customHeight="1" x14ac:dyDescent="0.3">
      <c r="K851" s="8"/>
      <c r="L851" s="8"/>
      <c r="M851" s="8"/>
      <c r="N851" s="8"/>
    </row>
    <row r="852" spans="11:14" ht="15.75" customHeight="1" x14ac:dyDescent="0.3">
      <c r="K852" s="8"/>
      <c r="L852" s="8"/>
      <c r="M852" s="8"/>
      <c r="N852" s="8"/>
    </row>
    <row r="853" spans="11:14" ht="15.75" customHeight="1" x14ac:dyDescent="0.3">
      <c r="K853" s="8"/>
      <c r="L853" s="8"/>
      <c r="M853" s="8"/>
      <c r="N853" s="8"/>
    </row>
    <row r="854" spans="11:14" ht="15.75" customHeight="1" x14ac:dyDescent="0.3">
      <c r="K854" s="8"/>
      <c r="L854" s="8"/>
      <c r="M854" s="8"/>
      <c r="N854" s="8"/>
    </row>
    <row r="855" spans="11:14" ht="15.75" customHeight="1" x14ac:dyDescent="0.3">
      <c r="K855" s="8"/>
      <c r="L855" s="8"/>
      <c r="M855" s="8"/>
      <c r="N855" s="8"/>
    </row>
    <row r="856" spans="11:14" ht="15.75" customHeight="1" x14ac:dyDescent="0.3">
      <c r="K856" s="8"/>
      <c r="L856" s="8"/>
      <c r="M856" s="8"/>
      <c r="N856" s="8"/>
    </row>
    <row r="857" spans="11:14" ht="15.75" customHeight="1" x14ac:dyDescent="0.3">
      <c r="K857" s="8"/>
      <c r="L857" s="8"/>
      <c r="M857" s="8"/>
      <c r="N857" s="8"/>
    </row>
    <row r="858" spans="11:14" ht="15.75" customHeight="1" x14ac:dyDescent="0.3">
      <c r="K858" s="8"/>
      <c r="L858" s="8"/>
      <c r="M858" s="8"/>
      <c r="N858" s="8"/>
    </row>
    <row r="859" spans="11:14" ht="15.75" customHeight="1" x14ac:dyDescent="0.3">
      <c r="K859" s="8"/>
      <c r="L859" s="8"/>
      <c r="M859" s="8"/>
      <c r="N859" s="8"/>
    </row>
    <row r="860" spans="11:14" ht="15.75" customHeight="1" x14ac:dyDescent="0.3">
      <c r="K860" s="8"/>
      <c r="L860" s="8"/>
      <c r="M860" s="8"/>
      <c r="N860" s="8"/>
    </row>
    <row r="861" spans="11:14" ht="15.75" customHeight="1" x14ac:dyDescent="0.3">
      <c r="K861" s="8"/>
      <c r="L861" s="8"/>
      <c r="M861" s="8"/>
      <c r="N861" s="8"/>
    </row>
    <row r="862" spans="11:14" ht="15.75" customHeight="1" x14ac:dyDescent="0.3">
      <c r="K862" s="8"/>
      <c r="L862" s="8"/>
      <c r="M862" s="8"/>
      <c r="N862" s="8"/>
    </row>
    <row r="863" spans="11:14" ht="15.75" customHeight="1" x14ac:dyDescent="0.3">
      <c r="K863" s="8"/>
      <c r="L863" s="8"/>
      <c r="M863" s="8"/>
      <c r="N863" s="8"/>
    </row>
    <row r="864" spans="11:14" ht="15.75" customHeight="1" x14ac:dyDescent="0.3">
      <c r="K864" s="8"/>
      <c r="L864" s="8"/>
      <c r="M864" s="8"/>
      <c r="N864" s="8"/>
    </row>
    <row r="865" spans="11:14" ht="15.75" customHeight="1" x14ac:dyDescent="0.3">
      <c r="K865" s="8"/>
      <c r="L865" s="8"/>
      <c r="M865" s="8"/>
      <c r="N865" s="8"/>
    </row>
    <row r="866" spans="11:14" ht="15.75" customHeight="1" x14ac:dyDescent="0.3">
      <c r="K866" s="8"/>
      <c r="L866" s="8"/>
      <c r="M866" s="8"/>
      <c r="N866" s="8"/>
    </row>
    <row r="867" spans="11:14" ht="15.75" customHeight="1" x14ac:dyDescent="0.3">
      <c r="K867" s="8"/>
      <c r="L867" s="8"/>
      <c r="M867" s="8"/>
      <c r="N867" s="8"/>
    </row>
    <row r="868" spans="11:14" ht="15.75" customHeight="1" x14ac:dyDescent="0.3">
      <c r="K868" s="8"/>
      <c r="L868" s="8"/>
      <c r="M868" s="8"/>
      <c r="N868" s="8"/>
    </row>
    <row r="869" spans="11:14" ht="15.75" customHeight="1" x14ac:dyDescent="0.3">
      <c r="K869" s="8"/>
      <c r="L869" s="8"/>
      <c r="M869" s="8"/>
      <c r="N869" s="8"/>
    </row>
    <row r="870" spans="11:14" ht="15.75" customHeight="1" x14ac:dyDescent="0.3">
      <c r="K870" s="8"/>
      <c r="L870" s="8"/>
      <c r="M870" s="8"/>
      <c r="N870" s="8"/>
    </row>
    <row r="871" spans="11:14" ht="15.75" customHeight="1" x14ac:dyDescent="0.3">
      <c r="K871" s="8"/>
      <c r="L871" s="8"/>
      <c r="M871" s="8"/>
      <c r="N871" s="8"/>
    </row>
    <row r="872" spans="11:14" ht="15.75" customHeight="1" x14ac:dyDescent="0.3">
      <c r="K872" s="8"/>
      <c r="L872" s="8"/>
      <c r="M872" s="8"/>
      <c r="N872" s="8"/>
    </row>
    <row r="873" spans="11:14" ht="15.75" customHeight="1" x14ac:dyDescent="0.3">
      <c r="K873" s="8"/>
      <c r="L873" s="8"/>
      <c r="M873" s="8"/>
      <c r="N873" s="8"/>
    </row>
    <row r="874" spans="11:14" ht="15.75" customHeight="1" x14ac:dyDescent="0.3">
      <c r="K874" s="8"/>
      <c r="L874" s="8"/>
      <c r="M874" s="8"/>
      <c r="N874" s="8"/>
    </row>
    <row r="875" spans="11:14" ht="15.75" customHeight="1" x14ac:dyDescent="0.3">
      <c r="K875" s="8"/>
      <c r="L875" s="8"/>
      <c r="M875" s="8"/>
      <c r="N875" s="8"/>
    </row>
    <row r="876" spans="11:14" ht="15.75" customHeight="1" x14ac:dyDescent="0.3">
      <c r="K876" s="8"/>
      <c r="L876" s="8"/>
      <c r="M876" s="8"/>
      <c r="N876" s="8"/>
    </row>
    <row r="877" spans="11:14" ht="15.75" customHeight="1" x14ac:dyDescent="0.3">
      <c r="K877" s="8"/>
      <c r="L877" s="8"/>
      <c r="M877" s="8"/>
      <c r="N877" s="8"/>
    </row>
    <row r="878" spans="11:14" ht="15.75" customHeight="1" x14ac:dyDescent="0.3">
      <c r="K878" s="8"/>
      <c r="L878" s="8"/>
      <c r="M878" s="8"/>
      <c r="N878" s="8"/>
    </row>
    <row r="879" spans="11:14" ht="15.75" customHeight="1" x14ac:dyDescent="0.3">
      <c r="K879" s="8"/>
      <c r="L879" s="8"/>
      <c r="M879" s="8"/>
      <c r="N879" s="8"/>
    </row>
    <row r="880" spans="11:14" ht="15.75" customHeight="1" x14ac:dyDescent="0.3">
      <c r="K880" s="8"/>
      <c r="L880" s="8"/>
      <c r="M880" s="8"/>
      <c r="N880" s="8"/>
    </row>
    <row r="881" spans="11:14" ht="15.75" customHeight="1" x14ac:dyDescent="0.3">
      <c r="K881" s="8"/>
      <c r="L881" s="8"/>
      <c r="M881" s="8"/>
      <c r="N881" s="8"/>
    </row>
    <row r="882" spans="11:14" ht="15.75" customHeight="1" x14ac:dyDescent="0.3">
      <c r="K882" s="8"/>
      <c r="L882" s="8"/>
      <c r="M882" s="8"/>
      <c r="N882" s="8"/>
    </row>
    <row r="883" spans="11:14" ht="15.75" customHeight="1" x14ac:dyDescent="0.3">
      <c r="K883" s="8"/>
      <c r="L883" s="8"/>
      <c r="M883" s="8"/>
      <c r="N883" s="8"/>
    </row>
    <row r="884" spans="11:14" ht="15.75" customHeight="1" x14ac:dyDescent="0.3">
      <c r="K884" s="8"/>
      <c r="L884" s="8"/>
      <c r="M884" s="8"/>
      <c r="N884" s="8"/>
    </row>
    <row r="885" spans="11:14" ht="15.75" customHeight="1" x14ac:dyDescent="0.3">
      <c r="K885" s="8"/>
      <c r="L885" s="8"/>
      <c r="M885" s="8"/>
      <c r="N885" s="8"/>
    </row>
    <row r="886" spans="11:14" ht="15.75" customHeight="1" x14ac:dyDescent="0.3">
      <c r="K886" s="8"/>
      <c r="L886" s="8"/>
      <c r="M886" s="8"/>
      <c r="N886" s="8"/>
    </row>
    <row r="887" spans="11:14" ht="15.75" customHeight="1" x14ac:dyDescent="0.3">
      <c r="K887" s="8"/>
      <c r="L887" s="8"/>
      <c r="M887" s="8"/>
      <c r="N887" s="8"/>
    </row>
    <row r="888" spans="11:14" ht="15.75" customHeight="1" x14ac:dyDescent="0.3">
      <c r="K888" s="8"/>
      <c r="L888" s="8"/>
      <c r="M888" s="8"/>
      <c r="N888" s="8"/>
    </row>
    <row r="889" spans="11:14" ht="15.75" customHeight="1" x14ac:dyDescent="0.3">
      <c r="K889" s="8"/>
      <c r="L889" s="8"/>
      <c r="M889" s="8"/>
      <c r="N889" s="8"/>
    </row>
    <row r="890" spans="11:14" ht="15.75" customHeight="1" x14ac:dyDescent="0.3">
      <c r="K890" s="8"/>
      <c r="L890" s="8"/>
      <c r="M890" s="8"/>
      <c r="N890" s="8"/>
    </row>
    <row r="891" spans="11:14" ht="15.75" customHeight="1" x14ac:dyDescent="0.3">
      <c r="K891" s="8"/>
      <c r="L891" s="8"/>
      <c r="M891" s="8"/>
      <c r="N891" s="8"/>
    </row>
    <row r="892" spans="11:14" ht="15.75" customHeight="1" x14ac:dyDescent="0.3">
      <c r="K892" s="8"/>
      <c r="L892" s="8"/>
      <c r="M892" s="8"/>
      <c r="N892" s="8"/>
    </row>
    <row r="893" spans="11:14" ht="15.75" customHeight="1" x14ac:dyDescent="0.3">
      <c r="K893" s="8"/>
      <c r="L893" s="8"/>
      <c r="M893" s="8"/>
      <c r="N893" s="8"/>
    </row>
    <row r="894" spans="11:14" ht="15.75" customHeight="1" x14ac:dyDescent="0.3">
      <c r="K894" s="8"/>
      <c r="L894" s="8"/>
      <c r="M894" s="8"/>
      <c r="N894" s="8"/>
    </row>
    <row r="895" spans="11:14" ht="15.75" customHeight="1" x14ac:dyDescent="0.3">
      <c r="K895" s="8"/>
      <c r="L895" s="8"/>
      <c r="M895" s="8"/>
      <c r="N895" s="8"/>
    </row>
    <row r="896" spans="11:14" ht="15.75" customHeight="1" x14ac:dyDescent="0.3">
      <c r="K896" s="8"/>
      <c r="L896" s="8"/>
      <c r="M896" s="8"/>
      <c r="N896" s="8"/>
    </row>
    <row r="897" spans="11:14" ht="15.75" customHeight="1" x14ac:dyDescent="0.3">
      <c r="K897" s="8"/>
      <c r="L897" s="8"/>
      <c r="M897" s="8"/>
      <c r="N897" s="8"/>
    </row>
    <row r="898" spans="11:14" ht="15.75" customHeight="1" x14ac:dyDescent="0.3">
      <c r="K898" s="8"/>
      <c r="L898" s="8"/>
      <c r="M898" s="8"/>
      <c r="N898" s="8"/>
    </row>
    <row r="899" spans="11:14" ht="15.75" customHeight="1" x14ac:dyDescent="0.3">
      <c r="K899" s="8"/>
      <c r="L899" s="8"/>
      <c r="M899" s="8"/>
      <c r="N899" s="8"/>
    </row>
    <row r="900" spans="11:14" ht="15.75" customHeight="1" x14ac:dyDescent="0.3">
      <c r="K900" s="8"/>
      <c r="L900" s="8"/>
      <c r="M900" s="8"/>
      <c r="N900" s="8"/>
    </row>
    <row r="901" spans="11:14" ht="15.75" customHeight="1" x14ac:dyDescent="0.3">
      <c r="K901" s="8"/>
      <c r="L901" s="8"/>
      <c r="M901" s="8"/>
      <c r="N901" s="8"/>
    </row>
    <row r="902" spans="11:14" ht="15.75" customHeight="1" x14ac:dyDescent="0.3">
      <c r="K902" s="8"/>
      <c r="L902" s="8"/>
      <c r="M902" s="8"/>
      <c r="N902" s="8"/>
    </row>
    <row r="903" spans="11:14" ht="15.75" customHeight="1" x14ac:dyDescent="0.3">
      <c r="K903" s="8"/>
      <c r="L903" s="8"/>
      <c r="M903" s="8"/>
      <c r="N903" s="8"/>
    </row>
    <row r="904" spans="11:14" ht="15.75" customHeight="1" x14ac:dyDescent="0.3">
      <c r="K904" s="8"/>
      <c r="L904" s="8"/>
      <c r="M904" s="8"/>
      <c r="N904" s="8"/>
    </row>
    <row r="905" spans="11:14" ht="15.75" customHeight="1" x14ac:dyDescent="0.3">
      <c r="K905" s="8"/>
      <c r="L905" s="8"/>
      <c r="M905" s="8"/>
      <c r="N905" s="8"/>
    </row>
    <row r="906" spans="11:14" ht="15.75" customHeight="1" x14ac:dyDescent="0.3">
      <c r="K906" s="8"/>
      <c r="L906" s="8"/>
      <c r="M906" s="8"/>
      <c r="N906" s="8"/>
    </row>
    <row r="907" spans="11:14" ht="15.75" customHeight="1" x14ac:dyDescent="0.3">
      <c r="K907" s="8"/>
      <c r="L907" s="8"/>
      <c r="M907" s="8"/>
      <c r="N907" s="8"/>
    </row>
    <row r="908" spans="11:14" ht="15.75" customHeight="1" x14ac:dyDescent="0.3">
      <c r="K908" s="8"/>
      <c r="L908" s="8"/>
      <c r="M908" s="8"/>
      <c r="N908" s="8"/>
    </row>
    <row r="909" spans="11:14" ht="15.75" customHeight="1" x14ac:dyDescent="0.3">
      <c r="K909" s="8"/>
      <c r="L909" s="8"/>
      <c r="M909" s="8"/>
      <c r="N909" s="8"/>
    </row>
    <row r="910" spans="11:14" ht="15.75" customHeight="1" x14ac:dyDescent="0.3">
      <c r="K910" s="8"/>
      <c r="L910" s="8"/>
      <c r="M910" s="8"/>
      <c r="N910" s="8"/>
    </row>
    <row r="911" spans="11:14" ht="15.75" customHeight="1" x14ac:dyDescent="0.3">
      <c r="K911" s="8"/>
      <c r="L911" s="8"/>
      <c r="M911" s="8"/>
      <c r="N911" s="8"/>
    </row>
    <row r="912" spans="11:14" ht="15.75" customHeight="1" x14ac:dyDescent="0.3">
      <c r="K912" s="8"/>
      <c r="L912" s="8"/>
      <c r="M912" s="8"/>
      <c r="N912" s="8"/>
    </row>
    <row r="913" spans="11:14" ht="15.75" customHeight="1" x14ac:dyDescent="0.3">
      <c r="K913" s="8"/>
      <c r="L913" s="8"/>
      <c r="M913" s="8"/>
      <c r="N913" s="8"/>
    </row>
    <row r="914" spans="11:14" ht="15.75" customHeight="1" x14ac:dyDescent="0.3">
      <c r="K914" s="8"/>
      <c r="L914" s="8"/>
      <c r="M914" s="8"/>
      <c r="N914" s="8"/>
    </row>
    <row r="915" spans="11:14" ht="15.75" customHeight="1" x14ac:dyDescent="0.3">
      <c r="K915" s="8"/>
      <c r="L915" s="8"/>
      <c r="M915" s="8"/>
      <c r="N915" s="8"/>
    </row>
    <row r="916" spans="11:14" ht="15.75" customHeight="1" x14ac:dyDescent="0.3">
      <c r="K916" s="8"/>
      <c r="L916" s="8"/>
      <c r="M916" s="8"/>
      <c r="N916" s="8"/>
    </row>
    <row r="917" spans="11:14" ht="15.75" customHeight="1" x14ac:dyDescent="0.3">
      <c r="K917" s="8"/>
      <c r="L917" s="8"/>
      <c r="M917" s="8"/>
      <c r="N917" s="8"/>
    </row>
    <row r="918" spans="11:14" ht="15.75" customHeight="1" x14ac:dyDescent="0.3">
      <c r="K918" s="8"/>
      <c r="L918" s="8"/>
      <c r="M918" s="8"/>
      <c r="N918" s="8"/>
    </row>
    <row r="919" spans="11:14" ht="15.75" customHeight="1" x14ac:dyDescent="0.3">
      <c r="K919" s="8"/>
      <c r="L919" s="8"/>
      <c r="M919" s="8"/>
      <c r="N919" s="8"/>
    </row>
    <row r="920" spans="11:14" ht="15.75" customHeight="1" x14ac:dyDescent="0.3">
      <c r="K920" s="8"/>
      <c r="L920" s="8"/>
      <c r="M920" s="8"/>
      <c r="N920" s="8"/>
    </row>
    <row r="921" spans="11:14" ht="15.75" customHeight="1" x14ac:dyDescent="0.3">
      <c r="K921" s="8"/>
      <c r="L921" s="8"/>
      <c r="M921" s="8"/>
      <c r="N921" s="8"/>
    </row>
    <row r="922" spans="11:14" ht="15.75" customHeight="1" x14ac:dyDescent="0.3">
      <c r="K922" s="8"/>
      <c r="L922" s="8"/>
      <c r="M922" s="8"/>
      <c r="N922" s="8"/>
    </row>
    <row r="923" spans="11:14" ht="15.75" customHeight="1" x14ac:dyDescent="0.3">
      <c r="K923" s="8"/>
      <c r="L923" s="8"/>
      <c r="M923" s="8"/>
      <c r="N923" s="8"/>
    </row>
    <row r="924" spans="11:14" ht="15.75" customHeight="1" x14ac:dyDescent="0.3">
      <c r="K924" s="8"/>
      <c r="L924" s="8"/>
      <c r="M924" s="8"/>
      <c r="N924" s="8"/>
    </row>
    <row r="925" spans="11:14" ht="15.75" customHeight="1" x14ac:dyDescent="0.3">
      <c r="K925" s="8"/>
      <c r="L925" s="8"/>
      <c r="M925" s="8"/>
      <c r="N925" s="8"/>
    </row>
    <row r="926" spans="11:14" ht="15.75" customHeight="1" x14ac:dyDescent="0.3">
      <c r="K926" s="8"/>
      <c r="L926" s="8"/>
      <c r="M926" s="8"/>
      <c r="N926" s="8"/>
    </row>
    <row r="927" spans="11:14" ht="15.75" customHeight="1" x14ac:dyDescent="0.3">
      <c r="K927" s="8"/>
      <c r="L927" s="8"/>
      <c r="M927" s="8"/>
      <c r="N927" s="8"/>
    </row>
    <row r="928" spans="11:14" ht="15.75" customHeight="1" x14ac:dyDescent="0.3">
      <c r="K928" s="8"/>
      <c r="L928" s="8"/>
      <c r="M928" s="8"/>
      <c r="N928" s="8"/>
    </row>
    <row r="929" spans="11:14" ht="15.75" customHeight="1" x14ac:dyDescent="0.3">
      <c r="K929" s="8"/>
      <c r="L929" s="8"/>
      <c r="M929" s="8"/>
      <c r="N929" s="8"/>
    </row>
    <row r="930" spans="11:14" ht="15.75" customHeight="1" x14ac:dyDescent="0.3">
      <c r="K930" s="8"/>
      <c r="L930" s="8"/>
      <c r="M930" s="8"/>
      <c r="N930" s="8"/>
    </row>
    <row r="931" spans="11:14" ht="15.75" customHeight="1" x14ac:dyDescent="0.3">
      <c r="K931" s="8"/>
      <c r="L931" s="8"/>
      <c r="M931" s="8"/>
      <c r="N931" s="8"/>
    </row>
    <row r="932" spans="11:14" ht="15.75" customHeight="1" x14ac:dyDescent="0.3">
      <c r="K932" s="8"/>
      <c r="L932" s="8"/>
      <c r="M932" s="8"/>
      <c r="N932" s="8"/>
    </row>
    <row r="933" spans="11:14" ht="15.75" customHeight="1" x14ac:dyDescent="0.3">
      <c r="K933" s="8"/>
      <c r="L933" s="8"/>
      <c r="M933" s="8"/>
      <c r="N933" s="8"/>
    </row>
    <row r="934" spans="11:14" ht="15.75" customHeight="1" x14ac:dyDescent="0.3">
      <c r="K934" s="8"/>
      <c r="L934" s="8"/>
      <c r="M934" s="8"/>
      <c r="N934" s="8"/>
    </row>
    <row r="935" spans="11:14" ht="15.75" customHeight="1" x14ac:dyDescent="0.3">
      <c r="K935" s="8"/>
      <c r="L935" s="8"/>
      <c r="M935" s="8"/>
      <c r="N935" s="8"/>
    </row>
    <row r="936" spans="11:14" ht="15.75" customHeight="1" x14ac:dyDescent="0.3">
      <c r="K936" s="8"/>
      <c r="L936" s="8"/>
      <c r="M936" s="8"/>
      <c r="N936" s="8"/>
    </row>
    <row r="937" spans="11:14" ht="15.75" customHeight="1" x14ac:dyDescent="0.3">
      <c r="K937" s="8"/>
      <c r="L937" s="8"/>
      <c r="M937" s="8"/>
      <c r="N937" s="8"/>
    </row>
    <row r="938" spans="11:14" ht="15.75" customHeight="1" x14ac:dyDescent="0.3">
      <c r="K938" s="8"/>
      <c r="L938" s="8"/>
      <c r="M938" s="8"/>
      <c r="N938" s="8"/>
    </row>
    <row r="939" spans="11:14" ht="15.75" customHeight="1" x14ac:dyDescent="0.3">
      <c r="K939" s="8"/>
      <c r="L939" s="8"/>
      <c r="M939" s="8"/>
      <c r="N939" s="8"/>
    </row>
    <row r="940" spans="11:14" ht="15.75" customHeight="1" x14ac:dyDescent="0.3">
      <c r="K940" s="8"/>
      <c r="L940" s="8"/>
      <c r="M940" s="8"/>
      <c r="N940" s="8"/>
    </row>
    <row r="941" spans="11:14" ht="15.75" customHeight="1" x14ac:dyDescent="0.3">
      <c r="K941" s="8"/>
      <c r="L941" s="8"/>
      <c r="M941" s="8"/>
      <c r="N941" s="8"/>
    </row>
    <row r="942" spans="11:14" ht="15.75" customHeight="1" x14ac:dyDescent="0.3">
      <c r="K942" s="8"/>
      <c r="L942" s="8"/>
      <c r="M942" s="8"/>
      <c r="N942" s="8"/>
    </row>
    <row r="943" spans="11:14" ht="15.75" customHeight="1" x14ac:dyDescent="0.3">
      <c r="K943" s="8"/>
      <c r="L943" s="8"/>
      <c r="M943" s="8"/>
      <c r="N943" s="8"/>
    </row>
    <row r="944" spans="11:14" ht="15.75" customHeight="1" x14ac:dyDescent="0.3">
      <c r="K944" s="8"/>
      <c r="L944" s="8"/>
      <c r="M944" s="8"/>
      <c r="N944" s="8"/>
    </row>
    <row r="945" spans="11:14" ht="15.75" customHeight="1" x14ac:dyDescent="0.3">
      <c r="K945" s="8"/>
      <c r="L945" s="8"/>
      <c r="M945" s="8"/>
      <c r="N945" s="8"/>
    </row>
    <row r="946" spans="11:14" ht="15.75" customHeight="1" x14ac:dyDescent="0.3">
      <c r="K946" s="8"/>
      <c r="L946" s="8"/>
      <c r="M946" s="8"/>
      <c r="N946" s="8"/>
    </row>
    <row r="947" spans="11:14" ht="15.75" customHeight="1" x14ac:dyDescent="0.3">
      <c r="K947" s="8"/>
      <c r="L947" s="8"/>
      <c r="M947" s="8"/>
      <c r="N947" s="8"/>
    </row>
    <row r="948" spans="11:14" ht="15.75" customHeight="1" x14ac:dyDescent="0.3">
      <c r="K948" s="8"/>
      <c r="L948" s="8"/>
      <c r="M948" s="8"/>
      <c r="N948" s="8"/>
    </row>
    <row r="949" spans="11:14" ht="15.75" customHeight="1" x14ac:dyDescent="0.3">
      <c r="K949" s="8"/>
      <c r="L949" s="8"/>
      <c r="M949" s="8"/>
      <c r="N949" s="8"/>
    </row>
    <row r="950" spans="11:14" ht="15.75" customHeight="1" x14ac:dyDescent="0.3">
      <c r="K950" s="8"/>
      <c r="L950" s="8"/>
      <c r="M950" s="8"/>
      <c r="N950" s="8"/>
    </row>
    <row r="951" spans="11:14" ht="15.75" customHeight="1" x14ac:dyDescent="0.3">
      <c r="K951" s="8"/>
      <c r="L951" s="8"/>
      <c r="M951" s="8"/>
      <c r="N951" s="8"/>
    </row>
    <row r="952" spans="11:14" ht="15.75" customHeight="1" x14ac:dyDescent="0.3">
      <c r="K952" s="8"/>
      <c r="L952" s="8"/>
      <c r="M952" s="8"/>
      <c r="N952" s="8"/>
    </row>
    <row r="953" spans="11:14" ht="15.75" customHeight="1" x14ac:dyDescent="0.3">
      <c r="K953" s="8"/>
      <c r="L953" s="8"/>
      <c r="M953" s="8"/>
      <c r="N953" s="8"/>
    </row>
    <row r="954" spans="11:14" ht="15.75" customHeight="1" x14ac:dyDescent="0.3">
      <c r="K954" s="8"/>
      <c r="L954" s="8"/>
      <c r="M954" s="8"/>
      <c r="N954" s="8"/>
    </row>
    <row r="955" spans="11:14" ht="15.75" customHeight="1" x14ac:dyDescent="0.3">
      <c r="K955" s="8"/>
      <c r="L955" s="8"/>
      <c r="M955" s="8"/>
      <c r="N955" s="8"/>
    </row>
    <row r="956" spans="11:14" ht="15.75" customHeight="1" x14ac:dyDescent="0.3">
      <c r="K956" s="8"/>
      <c r="L956" s="8"/>
      <c r="M956" s="8"/>
      <c r="N956" s="8"/>
    </row>
    <row r="957" spans="11:14" ht="15.75" customHeight="1" x14ac:dyDescent="0.3">
      <c r="K957" s="8"/>
      <c r="L957" s="8"/>
      <c r="M957" s="8"/>
      <c r="N957" s="8"/>
    </row>
    <row r="958" spans="11:14" ht="15.75" customHeight="1" x14ac:dyDescent="0.3">
      <c r="K958" s="8"/>
      <c r="L958" s="8"/>
      <c r="M958" s="8"/>
      <c r="N958" s="8"/>
    </row>
    <row r="959" spans="11:14" ht="15.75" customHeight="1" x14ac:dyDescent="0.3">
      <c r="K959" s="8"/>
      <c r="L959" s="8"/>
      <c r="M959" s="8"/>
      <c r="N959" s="8"/>
    </row>
    <row r="960" spans="11:14" ht="15.75" customHeight="1" x14ac:dyDescent="0.3">
      <c r="K960" s="8"/>
      <c r="L960" s="8"/>
      <c r="M960" s="8"/>
      <c r="N960" s="8"/>
    </row>
    <row r="961" spans="11:14" ht="15.75" customHeight="1" x14ac:dyDescent="0.3">
      <c r="K961" s="8"/>
      <c r="L961" s="8"/>
      <c r="M961" s="8"/>
      <c r="N961" s="8"/>
    </row>
    <row r="962" spans="11:14" ht="15.75" customHeight="1" x14ac:dyDescent="0.3">
      <c r="K962" s="8"/>
      <c r="L962" s="8"/>
      <c r="M962" s="8"/>
      <c r="N962" s="8"/>
    </row>
    <row r="963" spans="11:14" ht="15.75" customHeight="1" x14ac:dyDescent="0.3">
      <c r="K963" s="8"/>
      <c r="L963" s="8"/>
      <c r="M963" s="8"/>
      <c r="N963" s="8"/>
    </row>
    <row r="964" spans="11:14" ht="15.75" customHeight="1" x14ac:dyDescent="0.3">
      <c r="K964" s="8"/>
      <c r="L964" s="8"/>
      <c r="M964" s="8"/>
      <c r="N964" s="8"/>
    </row>
    <row r="965" spans="11:14" ht="15.75" customHeight="1" x14ac:dyDescent="0.3">
      <c r="K965" s="8"/>
      <c r="L965" s="8"/>
      <c r="M965" s="8"/>
      <c r="N965" s="8"/>
    </row>
    <row r="966" spans="11:14" ht="15.75" customHeight="1" x14ac:dyDescent="0.3">
      <c r="K966" s="8"/>
      <c r="L966" s="8"/>
      <c r="M966" s="8"/>
      <c r="N966" s="8"/>
    </row>
    <row r="967" spans="11:14" ht="15.75" customHeight="1" x14ac:dyDescent="0.3">
      <c r="K967" s="8"/>
      <c r="L967" s="8"/>
      <c r="M967" s="8"/>
      <c r="N967" s="8"/>
    </row>
    <row r="968" spans="11:14" ht="15.75" customHeight="1" x14ac:dyDescent="0.3">
      <c r="K968" s="8"/>
      <c r="L968" s="8"/>
      <c r="M968" s="8"/>
      <c r="N968" s="8"/>
    </row>
    <row r="969" spans="11:14" ht="15.75" customHeight="1" x14ac:dyDescent="0.3">
      <c r="K969" s="8"/>
      <c r="L969" s="8"/>
      <c r="M969" s="8"/>
      <c r="N969" s="8"/>
    </row>
    <row r="970" spans="11:14" ht="15.75" customHeight="1" x14ac:dyDescent="0.3">
      <c r="K970" s="8"/>
      <c r="L970" s="8"/>
      <c r="M970" s="8"/>
      <c r="N970" s="8"/>
    </row>
    <row r="971" spans="11:14" ht="15.75" customHeight="1" x14ac:dyDescent="0.3">
      <c r="K971" s="8"/>
      <c r="L971" s="8"/>
      <c r="M971" s="8"/>
      <c r="N971" s="8"/>
    </row>
    <row r="972" spans="11:14" ht="15.75" customHeight="1" x14ac:dyDescent="0.3">
      <c r="K972" s="8"/>
      <c r="L972" s="8"/>
      <c r="M972" s="8"/>
      <c r="N972" s="8"/>
    </row>
    <row r="973" spans="11:14" ht="15.75" customHeight="1" x14ac:dyDescent="0.3">
      <c r="K973" s="8"/>
      <c r="L973" s="8"/>
      <c r="M973" s="8"/>
      <c r="N973" s="8"/>
    </row>
    <row r="974" spans="11:14" ht="15.75" customHeight="1" x14ac:dyDescent="0.3">
      <c r="K974" s="8"/>
      <c r="L974" s="8"/>
      <c r="M974" s="8"/>
      <c r="N974" s="8"/>
    </row>
    <row r="975" spans="11:14" ht="15.75" customHeight="1" x14ac:dyDescent="0.3">
      <c r="K975" s="8"/>
      <c r="L975" s="8"/>
      <c r="M975" s="8"/>
      <c r="N975" s="8"/>
    </row>
    <row r="976" spans="11:14" ht="15.75" customHeight="1" x14ac:dyDescent="0.3">
      <c r="K976" s="8"/>
      <c r="L976" s="8"/>
      <c r="M976" s="8"/>
      <c r="N976" s="8"/>
    </row>
    <row r="977" spans="11:14" ht="15.75" customHeight="1" x14ac:dyDescent="0.3">
      <c r="K977" s="8"/>
      <c r="L977" s="8"/>
      <c r="M977" s="8"/>
      <c r="N977" s="8"/>
    </row>
    <row r="978" spans="11:14" ht="15.75" customHeight="1" x14ac:dyDescent="0.3">
      <c r="K978" s="8"/>
      <c r="L978" s="8"/>
      <c r="M978" s="8"/>
      <c r="N978" s="8"/>
    </row>
    <row r="979" spans="11:14" ht="15.75" customHeight="1" x14ac:dyDescent="0.3">
      <c r="K979" s="8"/>
      <c r="L979" s="8"/>
      <c r="M979" s="8"/>
      <c r="N979" s="8"/>
    </row>
    <row r="980" spans="11:14" ht="15.75" customHeight="1" x14ac:dyDescent="0.3">
      <c r="K980" s="8"/>
      <c r="L980" s="8"/>
      <c r="M980" s="8"/>
      <c r="N980" s="8"/>
    </row>
    <row r="981" spans="11:14" ht="15.75" customHeight="1" x14ac:dyDescent="0.3">
      <c r="K981" s="8"/>
      <c r="L981" s="8"/>
      <c r="M981" s="8"/>
      <c r="N981" s="8"/>
    </row>
    <row r="982" spans="11:14" ht="15.75" customHeight="1" x14ac:dyDescent="0.3">
      <c r="K982" s="8"/>
      <c r="L982" s="8"/>
      <c r="M982" s="8"/>
      <c r="N982" s="8"/>
    </row>
    <row r="983" spans="11:14" ht="15.75" customHeight="1" x14ac:dyDescent="0.3">
      <c r="K983" s="8"/>
      <c r="L983" s="8"/>
      <c r="M983" s="8"/>
      <c r="N983" s="8"/>
    </row>
    <row r="984" spans="11:14" ht="15.75" customHeight="1" x14ac:dyDescent="0.3">
      <c r="K984" s="8"/>
      <c r="L984" s="8"/>
      <c r="M984" s="8"/>
      <c r="N984" s="8"/>
    </row>
    <row r="985" spans="11:14" ht="15.75" customHeight="1" x14ac:dyDescent="0.3">
      <c r="K985" s="8"/>
      <c r="L985" s="8"/>
      <c r="M985" s="8"/>
      <c r="N985" s="8"/>
    </row>
    <row r="986" spans="11:14" ht="15.75" customHeight="1" x14ac:dyDescent="0.3">
      <c r="K986" s="8"/>
      <c r="L986" s="8"/>
      <c r="M986" s="8"/>
      <c r="N986" s="8"/>
    </row>
    <row r="987" spans="11:14" ht="15.75" customHeight="1" x14ac:dyDescent="0.3">
      <c r="K987" s="8"/>
      <c r="L987" s="8"/>
      <c r="M987" s="8"/>
      <c r="N987" s="8"/>
    </row>
    <row r="988" spans="11:14" ht="15.75" customHeight="1" x14ac:dyDescent="0.3">
      <c r="K988" s="8"/>
      <c r="L988" s="8"/>
      <c r="M988" s="8"/>
      <c r="N988" s="8"/>
    </row>
    <row r="989" spans="11:14" ht="15.75" customHeight="1" x14ac:dyDescent="0.3">
      <c r="K989" s="8"/>
      <c r="L989" s="8"/>
      <c r="M989" s="8"/>
      <c r="N989" s="8"/>
    </row>
    <row r="990" spans="11:14" ht="15.75" customHeight="1" x14ac:dyDescent="0.3">
      <c r="K990" s="8"/>
      <c r="L990" s="8"/>
      <c r="M990" s="8"/>
      <c r="N990" s="8"/>
    </row>
    <row r="991" spans="11:14" ht="15.75" customHeight="1" x14ac:dyDescent="0.3">
      <c r="K991" s="8"/>
      <c r="L991" s="8"/>
      <c r="M991" s="8"/>
      <c r="N991" s="8"/>
    </row>
    <row r="992" spans="11:14" ht="15.75" customHeight="1" x14ac:dyDescent="0.3">
      <c r="K992" s="8"/>
      <c r="L992" s="8"/>
      <c r="M992" s="8"/>
      <c r="N992" s="8"/>
    </row>
    <row r="993" spans="11:14" ht="15.75" customHeight="1" x14ac:dyDescent="0.3">
      <c r="K993" s="8"/>
      <c r="L993" s="8"/>
      <c r="M993" s="8"/>
      <c r="N993" s="8"/>
    </row>
    <row r="994" spans="11:14" ht="15.75" customHeight="1" x14ac:dyDescent="0.3">
      <c r="K994" s="8"/>
      <c r="L994" s="8"/>
      <c r="M994" s="8"/>
      <c r="N994" s="8"/>
    </row>
    <row r="995" spans="11:14" ht="15.75" customHeight="1" x14ac:dyDescent="0.3">
      <c r="K995" s="8"/>
      <c r="L995" s="8"/>
      <c r="M995" s="8"/>
      <c r="N995" s="8"/>
    </row>
    <row r="996" spans="11:14" ht="15.75" customHeight="1" x14ac:dyDescent="0.3">
      <c r="K996" s="8"/>
      <c r="L996" s="8"/>
      <c r="M996" s="8"/>
      <c r="N996" s="8"/>
    </row>
    <row r="997" spans="11:14" ht="15.75" customHeight="1" x14ac:dyDescent="0.3">
      <c r="K997" s="8"/>
      <c r="L997" s="8"/>
      <c r="M997" s="8"/>
      <c r="N997" s="8"/>
    </row>
    <row r="998" spans="11:14" ht="15.75" customHeight="1" x14ac:dyDescent="0.3">
      <c r="K998" s="8"/>
      <c r="L998" s="8"/>
      <c r="M998" s="8"/>
      <c r="N998" s="8"/>
    </row>
    <row r="999" spans="11:14" ht="15.75" customHeight="1" x14ac:dyDescent="0.3">
      <c r="K999" s="8"/>
      <c r="L999" s="8"/>
      <c r="M999" s="8"/>
      <c r="N999" s="8"/>
    </row>
    <row r="1000" spans="11:14" ht="15.75" customHeight="1" x14ac:dyDescent="0.3">
      <c r="K1000" s="8"/>
      <c r="L1000" s="8"/>
      <c r="M1000" s="8"/>
      <c r="N1000" s="8"/>
    </row>
    <row r="1001" spans="11:14" ht="15.75" customHeight="1" x14ac:dyDescent="0.3">
      <c r="K1001" s="8"/>
      <c r="L1001" s="8"/>
      <c r="M1001" s="8"/>
      <c r="N1001" s="8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Research (2)</vt:lpstr>
      <vt:lpstr>IS</vt:lpstr>
      <vt:lpstr>Balance Sheet</vt:lpstr>
      <vt:lpstr>CFS</vt:lpstr>
      <vt:lpstr>DCF</vt:lpstr>
      <vt:lpstr>Revenue Driver</vt:lpstr>
      <vt:lpstr>Cost Driver</vt:lpstr>
      <vt:lpstr>Asset Schedule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Manisha Singh</dc:creator>
  <cp:lastModifiedBy>SAKSHI MISHRA</cp:lastModifiedBy>
  <dcterms:created xsi:type="dcterms:W3CDTF">2025-09-20T14:47:19Z</dcterms:created>
  <dcterms:modified xsi:type="dcterms:W3CDTF">2025-12-14T18:41:58Z</dcterms:modified>
</cp:coreProperties>
</file>